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105" windowWidth="12120" windowHeight="8835" tabRatio="856" activeTab="0"/>
  </bookViews>
  <sheets>
    <sheet name="CVL Well" sheetId="1" r:id="rId1"/>
    <sheet name="Chart1 - Decline" sheetId="2" r:id="rId2"/>
    <sheet name="Chart2  - Cash Flow" sheetId="3" r:id="rId3"/>
    <sheet name=" Production Modeling" sheetId="4" r:id="rId4"/>
    <sheet name="DISCOUNT TABLES" sheetId="5" r:id="rId5"/>
  </sheets>
  <definedNames>
    <definedName name="YrCC">#REF!</definedName>
  </definedNames>
  <calcPr fullCalcOnLoad="1"/>
</workbook>
</file>

<file path=xl/sharedStrings.xml><?xml version="1.0" encoding="utf-8"?>
<sst xmlns="http://schemas.openxmlformats.org/spreadsheetml/2006/main" count="84" uniqueCount="80">
  <si>
    <t>Assumptions:</t>
  </si>
  <si>
    <t>Lease Cost</t>
  </si>
  <si>
    <t>Drilling and Location Cost</t>
  </si>
  <si>
    <t>Completion and Stimulation Cost</t>
  </si>
  <si>
    <t>BFIT NET CASH FLOW = REVENUE LESS STATE &amp; LOCAL TAXES, OVERHEAD, OPERATING COSTS, AND INVESTMENTS</t>
  </si>
  <si>
    <t>Lease Equipment Cost</t>
  </si>
  <si>
    <t>Operating Cost per Year</t>
  </si>
  <si>
    <t>Overhead on Investment (Typically 20%)</t>
  </si>
  <si>
    <t>Overhead on Bonus</t>
  </si>
  <si>
    <t>Overhead on Operating Cost</t>
  </si>
  <si>
    <t>Oil Price per Barrel</t>
  </si>
  <si>
    <t>Gas Price per MCFG</t>
  </si>
  <si>
    <t>YEAR</t>
  </si>
  <si>
    <t>GROSS GAS</t>
  </si>
  <si>
    <t>NET GAS</t>
  </si>
  <si>
    <t>OPERATING COST</t>
  </si>
  <si>
    <t>INVESTMENTS</t>
  </si>
  <si>
    <t>NET CASH FLOW</t>
  </si>
  <si>
    <t>CUM CASH FLOW</t>
  </si>
  <si>
    <t>Prospect Fee</t>
  </si>
  <si>
    <t>8/8 th Percent Net Interest</t>
  </si>
  <si>
    <t>GROSS OIL (BBL)</t>
  </si>
  <si>
    <t>NET OIL (BBL)</t>
  </si>
  <si>
    <t>Tax per gross BBL.</t>
  </si>
  <si>
    <t>Dollars per BBl times Net Rev. Int. times Tax Rate is the "Ad Valorem Tax."</t>
  </si>
  <si>
    <t>Dollars per BBL times Production Tax Rate is the "Production or Severance Tax."</t>
  </si>
  <si>
    <t>OVERHEAD</t>
  </si>
  <si>
    <t>TOTALS:</t>
  </si>
  <si>
    <t>DISCOUNT FACTOR</t>
  </si>
  <si>
    <t>Severance Tax for Gas.</t>
  </si>
  <si>
    <t>Tax Rates</t>
  </si>
  <si>
    <t>OIL REVENUE</t>
  </si>
  <si>
    <t>OIL TAXES</t>
  </si>
  <si>
    <t>GAS REVENUE</t>
  </si>
  <si>
    <t>GAS TAXES</t>
  </si>
  <si>
    <t>NET GAS CASH FLOW</t>
  </si>
  <si>
    <t>NET OIL CASH FLOW</t>
  </si>
  <si>
    <t>AFTER TAX CASH STREAM</t>
  </si>
  <si>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</si>
  <si>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</si>
  <si>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</si>
  <si>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</si>
  <si>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</si>
  <si>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</si>
  <si>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</si>
  <si>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</si>
  <si>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</si>
  <si>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</si>
  <si>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</si>
  <si>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Cut and paste these these discount factors into the cash flow sheet as desired.</t>
  </si>
  <si>
    <t>The discount factors are calculated by the Annual, Continuous, Uniform Flow method.</t>
  </si>
  <si>
    <t>NOTE:</t>
  </si>
  <si>
    <t>Price &amp; Net Revenue Interest</t>
  </si>
  <si>
    <t>MCFGE with</t>
  </si>
  <si>
    <t>Net Gas of</t>
  </si>
  <si>
    <t>10% Discounting</t>
  </si>
  <si>
    <t>Escalation Rate of Operating Cost  per Year</t>
  </si>
  <si>
    <t>F &amp; D Cost Per Net MCFGE.</t>
  </si>
  <si>
    <t>Actual Net Interest</t>
  </si>
  <si>
    <t>Given Working Interest (% Before Pay Out)</t>
  </si>
  <si>
    <t>Given Net Revenue Interest (% Before Pay Out)</t>
  </si>
  <si>
    <t>Discounted P/I Ratio</t>
  </si>
  <si>
    <t>Cost Factors</t>
  </si>
  <si>
    <t>15% Discounted Net cash</t>
  </si>
  <si>
    <t>10% Net Cash on Daisey</t>
  </si>
  <si>
    <t>10% Net Cash on Dog</t>
  </si>
  <si>
    <t>diff</t>
  </si>
  <si>
    <t>diff 15-10</t>
  </si>
  <si>
    <t>10% DISCOUNTED CF</t>
  </si>
  <si>
    <t>10% CUM DCF</t>
  </si>
  <si>
    <t>SIMPLE CASH FLOW ANALYSIS (BFIT, DISCOUNTED)  Oolitic Cotton Valley Lime Model</t>
  </si>
  <si>
    <t>Stimulation Case</t>
  </si>
  <si>
    <t xml:space="preserve">  Total All Initial Expenses Equals a</t>
  </si>
  <si>
    <t>(For the Unit.)</t>
  </si>
  <si>
    <t>(Includes H2S Price Adjustment.)</t>
  </si>
  <si>
    <t>50% CUM DCF</t>
  </si>
  <si>
    <t>50% Discounting</t>
  </si>
  <si>
    <t>50% DISCOUNTED CF</t>
  </si>
  <si>
    <t>NOTE: From this example, we see that the approximate Internal Rate of Return (IROR) is about 50%.</t>
  </si>
  <si>
    <t>(Tite Gas Designation - NO Tax.)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</si>
</sst>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  <numFmt numFmtId="170" formatCode="0.0000%"/>
    <numFmt numFmtId="171" formatCode="0.00000000%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0_);_(* \(#,##0.0000\);_(* &quot;-&quot;????_);_(@_)"/>
    <numFmt numFmtId="177" formatCode="_(&quot;$&quot;* #,##0.000_);_(&quot;$&quot;* \(#,##0.00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"/>
  </numFmts>
  <fonts count="38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8"/>
      <name val="Arial"/>
      <family val="2"/>
    </font>
    <font>
      <sz val="10.75"/>
      <name val="Arial"/>
      <family val="0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8"/>
      <color indexed="10"/>
      <name val="Arial"/>
      <family val="2"/>
    </font>
    <font>
      <sz val="15.5"/>
      <name val="Arial"/>
      <family val="0"/>
    </font>
    <font>
      <sz val="9.5"/>
      <name val="Arial"/>
      <family val="0"/>
    </font>
    <font>
      <b/>
      <sz val="4.75"/>
      <name val="Arial"/>
      <family val="2"/>
    </font>
    <font>
      <b/>
      <sz val="5.25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 shrinkToFit="1"/>
    </xf>
    <xf numFmtId="167" fontId="17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19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165" fontId="23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65" fontId="25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 shrinkToFit="1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19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19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165" fontId="29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0" fontId="16" fillId="3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173" fontId="8" fillId="0" borderId="0" xfId="15" applyNumberFormat="1" applyFont="1" applyAlignment="1">
      <alignment/>
    </xf>
    <xf numFmtId="173" fontId="8" fillId="0" borderId="0" xfId="15" applyNumberFormat="1" applyFont="1" applyAlignment="1">
      <alignment horizontal="left"/>
    </xf>
    <xf numFmtId="3" fontId="30" fillId="0" borderId="0" xfId="0" applyNumberFormat="1" applyFont="1" applyAlignment="1">
      <alignment/>
    </xf>
    <xf numFmtId="170" fontId="11" fillId="4" borderId="2" xfId="0" applyNumberFormat="1" applyFont="1" applyFill="1" applyBorder="1" applyAlignment="1">
      <alignment/>
    </xf>
    <xf numFmtId="170" fontId="11" fillId="4" borderId="2" xfId="19" applyNumberFormat="1" applyFont="1" applyFill="1" applyBorder="1" applyAlignment="1">
      <alignment/>
    </xf>
    <xf numFmtId="0" fontId="31" fillId="0" borderId="0" xfId="0" applyFont="1" applyAlignment="1">
      <alignment/>
    </xf>
    <xf numFmtId="165" fontId="2" fillId="2" borderId="2" xfId="0" applyNumberFormat="1" applyFont="1" applyFill="1" applyBorder="1" applyAlignment="1">
      <alignment horizontal="center" shrinkToFit="1"/>
    </xf>
    <xf numFmtId="10" fontId="16" fillId="3" borderId="3" xfId="19" applyNumberFormat="1" applyFont="1" applyFill="1" applyBorder="1" applyAlignment="1">
      <alignment/>
    </xf>
    <xf numFmtId="173" fontId="8" fillId="0" borderId="0" xfId="15" applyNumberFormat="1" applyFont="1" applyBorder="1" applyAlignment="1">
      <alignment horizontal="left"/>
    </xf>
    <xf numFmtId="8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8" fillId="0" borderId="0" xfId="15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44" fontId="9" fillId="0" borderId="0" xfId="17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6" fillId="0" borderId="0" xfId="0" applyNumberFormat="1" applyFont="1" applyAlignment="1">
      <alignment/>
    </xf>
    <xf numFmtId="44" fontId="2" fillId="0" borderId="2" xfId="17" applyNumberFormat="1" applyFont="1" applyBorder="1" applyAlignment="1">
      <alignment/>
    </xf>
    <xf numFmtId="0" fontId="21" fillId="0" borderId="0" xfId="0" applyFont="1" applyAlignment="1">
      <alignment horizontal="center"/>
    </xf>
    <xf numFmtId="17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4" fontId="8" fillId="0" borderId="0" xfId="17" applyFont="1" applyAlignment="1">
      <alignment/>
    </xf>
    <xf numFmtId="173" fontId="8" fillId="0" borderId="5" xfId="15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3" fontId="8" fillId="0" borderId="5" xfId="15" applyNumberFormat="1" applyFont="1" applyBorder="1" applyAlignment="1">
      <alignment horizontal="left"/>
    </xf>
    <xf numFmtId="173" fontId="6" fillId="0" borderId="0" xfId="0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173" fontId="8" fillId="0" borderId="6" xfId="15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0" fontId="3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275"/>
          <c:w val="0.95375"/>
          <c:h val="0.9642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'CVL Well'!$U$36:$U$57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Well'!$V$36:$V$57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-461941.07252159994</c:v>
                </c:pt>
                <c:pt idx="3">
                  <c:v>321836.1555596802</c:v>
                </c:pt>
                <c:pt idx="4">
                  <c:v>839330.7596328462</c:v>
                </c:pt>
                <c:pt idx="5">
                  <c:v>1268388.9845688462</c:v>
                </c:pt>
                <c:pt idx="6">
                  <c:v>1655411.060949088</c:v>
                </c:pt>
                <c:pt idx="7">
                  <c:v>1948121.037609863</c:v>
                </c:pt>
                <c:pt idx="8">
                  <c:v>2231436.6810319396</c:v>
                </c:pt>
                <c:pt idx="9">
                  <c:v>2450741.2596547436</c:v>
                </c:pt>
                <c:pt idx="10">
                  <c:v>2595051.5870384304</c:v>
                </c:pt>
                <c:pt idx="11">
                  <c:v>2772939.7067949157</c:v>
                </c:pt>
                <c:pt idx="12">
                  <c:v>2896678.3427197654</c:v>
                </c:pt>
                <c:pt idx="13">
                  <c:v>2996648.9791930867</c:v>
                </c:pt>
                <c:pt idx="14">
                  <c:v>3076253.173998239</c:v>
                </c:pt>
                <c:pt idx="15">
                  <c:v>3138467.7474039993</c:v>
                </c:pt>
                <c:pt idx="16">
                  <c:v>3185867.5699822474</c:v>
                </c:pt>
                <c:pt idx="17">
                  <c:v>3220724.936176203</c:v>
                </c:pt>
                <c:pt idx="18">
                  <c:v>3244977.510329825</c:v>
                </c:pt>
                <c:pt idx="19">
                  <c:v>3260336.861229437</c:v>
                </c:pt>
                <c:pt idx="20">
                  <c:v>3268279.279285829</c:v>
                </c:pt>
                <c:pt idx="21">
                  <c:v>3270070.894548661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'CVL Well'!$U$36:$U$57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Well'!$R$36:$R$57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-385598.2679999999</c:v>
                </c:pt>
                <c:pt idx="3">
                  <c:v>438389.5664000001</c:v>
                </c:pt>
                <c:pt idx="4">
                  <c:v>1039638.0897800002</c:v>
                </c:pt>
                <c:pt idx="5">
                  <c:v>1590560.3097800002</c:v>
                </c:pt>
                <c:pt idx="6">
                  <c:v>2139761.4966400005</c:v>
                </c:pt>
                <c:pt idx="7">
                  <c:v>2598842.3885170002</c:v>
                </c:pt>
                <c:pt idx="8">
                  <c:v>3089942.48111897</c:v>
                </c:pt>
                <c:pt idx="9">
                  <c:v>3510066.1949557597</c:v>
                </c:pt>
                <c:pt idx="10">
                  <c:v>3815549.5298069175</c:v>
                </c:pt>
                <c:pt idx="11">
                  <c:v>4231759.449686387</c:v>
                </c:pt>
                <c:pt idx="12">
                  <c:v>4551745.578274051</c:v>
                </c:pt>
                <c:pt idx="13">
                  <c:v>4837457.6002040915</c:v>
                </c:pt>
                <c:pt idx="14">
                  <c:v>5088892.201610131</c:v>
                </c:pt>
                <c:pt idx="15">
                  <c:v>5306046.035487131</c:v>
                </c:pt>
                <c:pt idx="16">
                  <c:v>5488915.721360002</c:v>
                </c:pt>
                <c:pt idx="17">
                  <c:v>5637497.844948902</c:v>
                </c:pt>
                <c:pt idx="18">
                  <c:v>5751788.957831191</c:v>
                </c:pt>
                <c:pt idx="19">
                  <c:v>5831785.577100003</c:v>
                </c:pt>
                <c:pt idx="20">
                  <c:v>5877484.185019405</c:v>
                </c:pt>
                <c:pt idx="21">
                  <c:v>5888881.2286760975</c:v>
                </c:pt>
              </c:numCache>
            </c:numRef>
          </c:yVal>
          <c:smooth val="1"/>
        </c:ser>
        <c:ser>
          <c:idx val="2"/>
          <c:order val="2"/>
          <c:tx>
            <c:v>CUM DCF @ 50%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'CVL Well'!$U$36:$U$57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Well'!$Z$36:$Z$57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-731643.9311183998</c:v>
                </c:pt>
                <c:pt idx="3">
                  <c:v>-342392.0781478398</c:v>
                </c:pt>
                <c:pt idx="4">
                  <c:v>-170134.3761994698</c:v>
                </c:pt>
                <c:pt idx="5">
                  <c:v>-74384.09436346982</c:v>
                </c:pt>
                <c:pt idx="6">
                  <c:v>-16498.28926842582</c:v>
                </c:pt>
                <c:pt idx="7">
                  <c:v>12836.979722514476</c:v>
                </c:pt>
                <c:pt idx="8">
                  <c:v>31891.66331547091</c:v>
                </c:pt>
                <c:pt idx="9">
                  <c:v>41764.57059063547</c:v>
                </c:pt>
                <c:pt idx="10">
                  <c:v>46132.982279007025</c:v>
                </c:pt>
                <c:pt idx="11">
                  <c:v>49754.008581958406</c:v>
                </c:pt>
                <c:pt idx="12">
                  <c:v>51417.93645061426</c:v>
                </c:pt>
                <c:pt idx="13">
                  <c:v>52332.214920790386</c:v>
                </c:pt>
                <c:pt idx="14">
                  <c:v>52809.94066346186</c:v>
                </c:pt>
                <c:pt idx="15">
                  <c:v>53070.52526411426</c:v>
                </c:pt>
                <c:pt idx="16">
                  <c:v>53198.53404422527</c:v>
                </c:pt>
                <c:pt idx="17">
                  <c:v>53257.96689366083</c:v>
                </c:pt>
                <c:pt idx="18">
                  <c:v>53292.25422752552</c:v>
                </c:pt>
                <c:pt idx="19">
                  <c:v>53308.25355137928</c:v>
                </c:pt>
                <c:pt idx="20">
                  <c:v>53312.82341217122</c:v>
                </c:pt>
                <c:pt idx="21">
                  <c:v>53313.96311653689</c:v>
                </c:pt>
              </c:numCache>
            </c:numRef>
          </c:yVal>
          <c:smooth val="1"/>
        </c:ser>
        <c:axId val="56658241"/>
        <c:axId val="40162122"/>
      </c:scatterChart>
      <c:valAx>
        <c:axId val="5665824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162122"/>
        <c:crosses val="autoZero"/>
        <c:crossBetween val="midCat"/>
        <c:dispUnits/>
        <c:majorUnit val="1"/>
      </c:valAx>
      <c:valAx>
        <c:axId val="40162122"/>
        <c:scaling>
          <c:orientation val="minMax"/>
          <c:max val="6000000"/>
          <c:min val="-3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58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0625"/>
          <c:w val="0.15525"/>
          <c:h val="0.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Decline Curve for Oolitic Cotton Valley Lime Well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94"/>
          <c:w val="0.9067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Gas Production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 Production Modeling'!$F$1:$F$20</c:f>
              <c:numCache>
                <c:ptCount val="20"/>
                <c:pt idx="0">
                  <c:v>310000</c:v>
                </c:pt>
                <c:pt idx="1">
                  <c:v>200000</c:v>
                </c:pt>
                <c:pt idx="2">
                  <c:v>192465</c:v>
                </c:pt>
                <c:pt idx="3">
                  <c:v>176784</c:v>
                </c:pt>
                <c:pt idx="4">
                  <c:v>176498</c:v>
                </c:pt>
                <c:pt idx="5">
                  <c:v>147285</c:v>
                </c:pt>
                <c:pt idx="6">
                  <c:v>158596</c:v>
                </c:pt>
                <c:pt idx="7">
                  <c:v>136148</c:v>
                </c:pt>
                <c:pt idx="8">
                  <c:v>101829</c:v>
                </c:pt>
                <c:pt idx="9">
                  <c:v>134891</c:v>
                </c:pt>
                <c:pt idx="10">
                  <c:v>115332</c:v>
                </c:pt>
                <c:pt idx="11">
                  <c:v>145473</c:v>
                </c:pt>
                <c:pt idx="12">
                  <c:v>100000</c:v>
                </c:pt>
                <c:pt idx="13">
                  <c:v>105000</c:v>
                </c:pt>
                <c:pt idx="14">
                  <c:v>100500</c:v>
                </c:pt>
                <c:pt idx="15">
                  <c:v>100000</c:v>
                </c:pt>
                <c:pt idx="16">
                  <c:v>98000</c:v>
                </c:pt>
                <c:pt idx="17">
                  <c:v>95000</c:v>
                </c:pt>
                <c:pt idx="18">
                  <c:v>91500</c:v>
                </c:pt>
                <c:pt idx="19">
                  <c:v>88000</c:v>
                </c:pt>
              </c:numCache>
            </c:numRef>
          </c:yVal>
          <c:smooth val="0"/>
        </c:ser>
        <c:ser>
          <c:idx val="2"/>
          <c:order val="2"/>
          <c:tx>
            <c:v>Stim Well Prod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 Production Modeling'!$A$1:$A$3</c:f>
              <c:numCache>
                <c:ptCount val="3"/>
                <c:pt idx="0">
                  <c:v>486000</c:v>
                </c:pt>
                <c:pt idx="1">
                  <c:v>260000</c:v>
                </c:pt>
                <c:pt idx="2">
                  <c:v>192465</c:v>
                </c:pt>
              </c:numCache>
            </c:numRef>
          </c:yVal>
          <c:smooth val="0"/>
        </c:ser>
        <c:axId val="25914779"/>
        <c:axId val="31906420"/>
      </c:scatterChart>
      <c:scatterChart>
        <c:scatterStyle val="lineMarker"/>
        <c:varyColors val="0"/>
        <c:ser>
          <c:idx val="1"/>
          <c:order val="1"/>
          <c:tx>
            <c:v>Oil Production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 Production Modeling'!$G$1:$G$20</c:f>
              <c:numCache>
                <c:ptCount val="20"/>
                <c:pt idx="0">
                  <c:v>150</c:v>
                </c:pt>
                <c:pt idx="1">
                  <c:v>130</c:v>
                </c:pt>
                <c:pt idx="2">
                  <c:v>76</c:v>
                </c:pt>
                <c:pt idx="3">
                  <c:v>125</c:v>
                </c:pt>
                <c:pt idx="4">
                  <c:v>107</c:v>
                </c:pt>
                <c:pt idx="5">
                  <c:v>326</c:v>
                </c:pt>
                <c:pt idx="6">
                  <c:v>149</c:v>
                </c:pt>
                <c:pt idx="7">
                  <c:v>255</c:v>
                </c:pt>
                <c:pt idx="8">
                  <c:v>179</c:v>
                </c:pt>
                <c:pt idx="9">
                  <c:v>287</c:v>
                </c:pt>
                <c:pt idx="10">
                  <c:v>667</c:v>
                </c:pt>
                <c:pt idx="11">
                  <c:v>176</c:v>
                </c:pt>
                <c:pt idx="12">
                  <c:v>370</c:v>
                </c:pt>
                <c:pt idx="13">
                  <c:v>400</c:v>
                </c:pt>
                <c:pt idx="14">
                  <c:v>440</c:v>
                </c:pt>
                <c:pt idx="15">
                  <c:v>490</c:v>
                </c:pt>
                <c:pt idx="16">
                  <c:v>530</c:v>
                </c:pt>
                <c:pt idx="17">
                  <c:v>600</c:v>
                </c:pt>
                <c:pt idx="18">
                  <c:v>670</c:v>
                </c:pt>
                <c:pt idx="19">
                  <c:v>750</c:v>
                </c:pt>
              </c:numCache>
            </c:numRef>
          </c:yVal>
          <c:smooth val="0"/>
        </c:ser>
        <c:axId val="18722325"/>
        <c:axId val="34283198"/>
      </c:scatterChart>
      <c:valAx>
        <c:axId val="2591477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6420"/>
        <c:crosses val="autoZero"/>
        <c:crossBetween val="midCat"/>
        <c:dispUnits/>
        <c:majorUnit val="1"/>
      </c:valAx>
      <c:valAx>
        <c:axId val="3190642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Production (MCFG or BO)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5914779"/>
        <c:crosses val="autoZero"/>
        <c:crossBetween val="midCat"/>
        <c:dispUnits/>
      </c:valAx>
      <c:valAx>
        <c:axId val="18722325"/>
        <c:scaling>
          <c:orientation val="minMax"/>
        </c:scaling>
        <c:axPos val="b"/>
        <c:delete val="1"/>
        <c:majorTickMark val="in"/>
        <c:minorTickMark val="none"/>
        <c:tickLblPos val="nextTo"/>
        <c:crossAx val="34283198"/>
        <c:crosses val="max"/>
        <c:crossBetween val="midCat"/>
        <c:dispUnits/>
      </c:valAx>
      <c:valAx>
        <c:axId val="34283198"/>
        <c:scaling>
          <c:logBase val="10"/>
          <c:orientation val="minMax"/>
          <c:max val="100000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872232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5"/>
          <c:y val="0.3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85"/>
          <c:w val="0.93425"/>
          <c:h val="0.963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'CVL Well'!$U$36:$U$57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Well'!$V$36:$V$57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-461941.07252159994</c:v>
                </c:pt>
                <c:pt idx="3">
                  <c:v>321836.1555596802</c:v>
                </c:pt>
                <c:pt idx="4">
                  <c:v>839330.7596328462</c:v>
                </c:pt>
                <c:pt idx="5">
                  <c:v>1268388.9845688462</c:v>
                </c:pt>
                <c:pt idx="6">
                  <c:v>1655411.060949088</c:v>
                </c:pt>
                <c:pt idx="7">
                  <c:v>1948121.037609863</c:v>
                </c:pt>
                <c:pt idx="8">
                  <c:v>2231436.6810319396</c:v>
                </c:pt>
                <c:pt idx="9">
                  <c:v>2450741.2596547436</c:v>
                </c:pt>
                <c:pt idx="10">
                  <c:v>2595051.5870384304</c:v>
                </c:pt>
                <c:pt idx="11">
                  <c:v>2772939.7067949157</c:v>
                </c:pt>
                <c:pt idx="12">
                  <c:v>2896678.3427197654</c:v>
                </c:pt>
                <c:pt idx="13">
                  <c:v>2996648.9791930867</c:v>
                </c:pt>
                <c:pt idx="14">
                  <c:v>3076253.173998239</c:v>
                </c:pt>
                <c:pt idx="15">
                  <c:v>3138467.7474039993</c:v>
                </c:pt>
                <c:pt idx="16">
                  <c:v>3185867.5699822474</c:v>
                </c:pt>
                <c:pt idx="17">
                  <c:v>3220724.936176203</c:v>
                </c:pt>
                <c:pt idx="18">
                  <c:v>3244977.510329825</c:v>
                </c:pt>
                <c:pt idx="19">
                  <c:v>3260336.861229437</c:v>
                </c:pt>
                <c:pt idx="20">
                  <c:v>3268279.279285829</c:v>
                </c:pt>
                <c:pt idx="21">
                  <c:v>3270070.894548661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'CVL Well'!$U$36:$U$57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Well'!$R$36:$R$57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-385598.2679999999</c:v>
                </c:pt>
                <c:pt idx="3">
                  <c:v>438389.5664000001</c:v>
                </c:pt>
                <c:pt idx="4">
                  <c:v>1039638.0897800002</c:v>
                </c:pt>
                <c:pt idx="5">
                  <c:v>1590560.3097800002</c:v>
                </c:pt>
                <c:pt idx="6">
                  <c:v>2139761.4966400005</c:v>
                </c:pt>
                <c:pt idx="7">
                  <c:v>2598842.3885170002</c:v>
                </c:pt>
                <c:pt idx="8">
                  <c:v>3089942.48111897</c:v>
                </c:pt>
                <c:pt idx="9">
                  <c:v>3510066.1949557597</c:v>
                </c:pt>
                <c:pt idx="10">
                  <c:v>3815549.5298069175</c:v>
                </c:pt>
                <c:pt idx="11">
                  <c:v>4231759.449686387</c:v>
                </c:pt>
                <c:pt idx="12">
                  <c:v>4551745.578274051</c:v>
                </c:pt>
                <c:pt idx="13">
                  <c:v>4837457.6002040915</c:v>
                </c:pt>
                <c:pt idx="14">
                  <c:v>5088892.201610131</c:v>
                </c:pt>
                <c:pt idx="15">
                  <c:v>5306046.035487131</c:v>
                </c:pt>
                <c:pt idx="16">
                  <c:v>5488915.721360002</c:v>
                </c:pt>
                <c:pt idx="17">
                  <c:v>5637497.844948902</c:v>
                </c:pt>
                <c:pt idx="18">
                  <c:v>5751788.957831191</c:v>
                </c:pt>
                <c:pt idx="19">
                  <c:v>5831785.577100003</c:v>
                </c:pt>
                <c:pt idx="20">
                  <c:v>5877484.185019405</c:v>
                </c:pt>
                <c:pt idx="21">
                  <c:v>5888881.2286760975</c:v>
                </c:pt>
              </c:numCache>
            </c:numRef>
          </c:yVal>
          <c:smooth val="1"/>
        </c:ser>
        <c:ser>
          <c:idx val="2"/>
          <c:order val="2"/>
          <c:tx>
            <c:v>CUM DCF @ 15%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'CVL Well'!$U$36:$U$57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Well'!$Z$36:$Z$57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-731643.9311183998</c:v>
                </c:pt>
                <c:pt idx="3">
                  <c:v>-342392.0781478398</c:v>
                </c:pt>
                <c:pt idx="4">
                  <c:v>-170134.3761994698</c:v>
                </c:pt>
                <c:pt idx="5">
                  <c:v>-74384.09436346982</c:v>
                </c:pt>
                <c:pt idx="6">
                  <c:v>-16498.28926842582</c:v>
                </c:pt>
                <c:pt idx="7">
                  <c:v>12836.979722514476</c:v>
                </c:pt>
                <c:pt idx="8">
                  <c:v>31891.66331547091</c:v>
                </c:pt>
                <c:pt idx="9">
                  <c:v>41764.57059063547</c:v>
                </c:pt>
                <c:pt idx="10">
                  <c:v>46132.982279007025</c:v>
                </c:pt>
                <c:pt idx="11">
                  <c:v>49754.008581958406</c:v>
                </c:pt>
                <c:pt idx="12">
                  <c:v>51417.93645061426</c:v>
                </c:pt>
                <c:pt idx="13">
                  <c:v>52332.214920790386</c:v>
                </c:pt>
                <c:pt idx="14">
                  <c:v>52809.94066346186</c:v>
                </c:pt>
                <c:pt idx="15">
                  <c:v>53070.52526411426</c:v>
                </c:pt>
                <c:pt idx="16">
                  <c:v>53198.53404422527</c:v>
                </c:pt>
                <c:pt idx="17">
                  <c:v>53257.96689366083</c:v>
                </c:pt>
                <c:pt idx="18">
                  <c:v>53292.25422752552</c:v>
                </c:pt>
                <c:pt idx="19">
                  <c:v>53308.25355137928</c:v>
                </c:pt>
                <c:pt idx="20">
                  <c:v>53312.82341217122</c:v>
                </c:pt>
                <c:pt idx="21">
                  <c:v>53313.96311653689</c:v>
                </c:pt>
              </c:numCache>
            </c:numRef>
          </c:yVal>
          <c:smooth val="1"/>
        </c:ser>
        <c:ser>
          <c:idx val="3"/>
          <c:order val="3"/>
          <c:tx>
            <c:v>CF Differential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3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xVal>
            <c:numRef>
              <c:f>'CVL Well'!$Y$36:$Y$57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'CVL Well'!$AA$36:$AA$57</c:f>
              <c:numCache>
                <c:ptCount val="22"/>
              </c:numCache>
            </c:numRef>
          </c:yVal>
          <c:smooth val="1"/>
        </c:ser>
        <c:axId val="40113327"/>
        <c:axId val="25475624"/>
      </c:scatterChart>
      <c:valAx>
        <c:axId val="40113327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25475624"/>
        <c:crosses val="autoZero"/>
        <c:crossBetween val="midCat"/>
        <c:dispUnits/>
        <c:majorUnit val="1"/>
      </c:valAx>
      <c:valAx>
        <c:axId val="25475624"/>
        <c:scaling>
          <c:orientation val="minMax"/>
          <c:max val="6000000"/>
          <c:min val="-300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40113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"/>
          <c:w val="0.3585"/>
          <c:h val="0.35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25" right="0.25" top="0.5" bottom="0.5" header="0.5" footer="0.2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25" right="0.25" top="0.25" bottom="0.25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0.48075</cdr:y>
    </cdr:from>
    <cdr:to>
      <cdr:x>0.40625</cdr:x>
      <cdr:y>0.48075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23</xdr:col>
      <xdr:colOff>962025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8553450" y="161925"/>
        <a:ext cx="108775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333375</xdr:colOff>
      <xdr:row>57</xdr:row>
      <xdr:rowOff>85725</xdr:rowOff>
    </xdr:from>
    <xdr:to>
      <xdr:col>23</xdr:col>
      <xdr:colOff>400050</xdr:colOff>
      <xdr:row>59</xdr:row>
      <xdr:rowOff>57150</xdr:rowOff>
    </xdr:to>
    <xdr:sp>
      <xdr:nvSpPr>
        <xdr:cNvPr id="2" name="Line 5"/>
        <xdr:cNvSpPr>
          <a:spLocks/>
        </xdr:cNvSpPr>
      </xdr:nvSpPr>
      <xdr:spPr>
        <a:xfrm flipV="1">
          <a:off x="18802350" y="9420225"/>
          <a:ext cx="66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838950"/>
    <xdr:graphicFrame>
      <xdr:nvGraphicFramePr>
        <xdr:cNvPr id="1" name="Shape 1025"/>
        <xdr:cNvGraphicFramePr/>
      </xdr:nvGraphicFramePr>
      <xdr:xfrm>
        <a:off x="0" y="0"/>
        <a:ext cx="9363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0.40225</cdr:x>
      <cdr:y>0.481</cdr:y>
    </cdr:from>
    <cdr:to>
      <cdr:x>0.40225</cdr:x>
      <cdr:y>0.481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3"/>
  <sheetViews>
    <sheetView tabSelected="1" workbookViewId="0" topLeftCell="A1">
      <selection activeCell="E2" sqref="C2:E2"/>
    </sheetView>
  </sheetViews>
  <sheetFormatPr defaultColWidth="9.140625" defaultRowHeight="12.75"/>
  <cols>
    <col min="1" max="1" width="7.8515625" style="6" customWidth="1"/>
    <col min="2" max="2" width="13.421875" style="0" customWidth="1"/>
    <col min="3" max="3" width="11.8515625" style="0" customWidth="1"/>
    <col min="4" max="4" width="12.140625" style="0" customWidth="1"/>
    <col min="5" max="5" width="13.57421875" style="0" customWidth="1"/>
    <col min="6" max="6" width="12.7109375" style="0" customWidth="1"/>
    <col min="7" max="7" width="11.421875" style="0" customWidth="1"/>
    <col min="8" max="8" width="9.7109375" style="29" customWidth="1"/>
    <col min="9" max="9" width="12.421875" style="29" customWidth="1"/>
    <col min="10" max="10" width="9.421875" style="29" customWidth="1"/>
    <col min="11" max="11" width="13.7109375" style="16" customWidth="1"/>
    <col min="12" max="12" width="14.57421875" style="0" customWidth="1"/>
    <col min="13" max="13" width="14.140625" style="0" customWidth="1"/>
    <col min="14" max="14" width="14.00390625" style="0" customWidth="1"/>
    <col min="15" max="15" width="15.28125" style="0" customWidth="1"/>
    <col min="16" max="16" width="16.140625" style="0" customWidth="1"/>
    <col min="17" max="17" width="5.28125" style="6" customWidth="1"/>
    <col min="18" max="18" width="15.140625" style="0" customWidth="1"/>
    <col min="19" max="19" width="9.57421875" style="39" customWidth="1"/>
    <col min="20" max="20" width="14.8515625" style="6" customWidth="1"/>
    <col min="21" max="21" width="5.28125" style="6" customWidth="1"/>
    <col min="22" max="22" width="14.8515625" style="0" customWidth="1"/>
    <col min="23" max="23" width="9.57421875" style="99" bestFit="1" customWidth="1"/>
    <col min="24" max="24" width="14.57421875" style="99" customWidth="1"/>
    <col min="25" max="25" width="5.28125" style="99" bestFit="1" customWidth="1"/>
    <col min="26" max="26" width="13.8515625" style="99" bestFit="1" customWidth="1"/>
    <col min="27" max="27" width="13.8515625" style="0" customWidth="1"/>
  </cols>
  <sheetData>
    <row r="2" spans="3:6" ht="15.75">
      <c r="C2" s="1" t="s">
        <v>70</v>
      </c>
      <c r="D2" s="1"/>
      <c r="E2" s="1"/>
      <c r="F2" s="1"/>
    </row>
    <row r="3" ht="12.75"/>
    <row r="4" ht="12.75">
      <c r="B4" s="2" t="s">
        <v>4</v>
      </c>
    </row>
    <row r="5" ht="12.75"/>
    <row r="6" ht="12.75"/>
    <row r="7" ht="12.75">
      <c r="B7" s="3" t="s">
        <v>0</v>
      </c>
    </row>
    <row r="8" ht="12.75">
      <c r="B8" s="50" t="s">
        <v>62</v>
      </c>
    </row>
    <row r="9" spans="2:6" ht="12.75">
      <c r="B9" s="72">
        <v>200000</v>
      </c>
      <c r="C9" s="4" t="s">
        <v>1</v>
      </c>
      <c r="D9" s="4" t="s">
        <v>73</v>
      </c>
      <c r="E9" s="4"/>
      <c r="F9" s="4"/>
    </row>
    <row r="10" spans="2:6" ht="12.75">
      <c r="B10" s="72"/>
      <c r="C10" s="4" t="s">
        <v>19</v>
      </c>
      <c r="D10" s="4"/>
      <c r="E10" s="4"/>
      <c r="F10" s="4"/>
    </row>
    <row r="11" spans="2:6" ht="12.75">
      <c r="B11" s="72">
        <v>1200000</v>
      </c>
      <c r="C11" s="4" t="s">
        <v>2</v>
      </c>
      <c r="D11" s="4"/>
      <c r="E11" s="4"/>
      <c r="F11" s="4"/>
    </row>
    <row r="12" spans="2:6" ht="12.75">
      <c r="B12" s="72">
        <v>400000</v>
      </c>
      <c r="C12" s="4" t="s">
        <v>3</v>
      </c>
      <c r="D12" s="4"/>
      <c r="E12" s="4"/>
      <c r="F12" s="4"/>
    </row>
    <row r="13" spans="2:6" ht="12.75">
      <c r="B13" s="72">
        <v>150000</v>
      </c>
      <c r="C13" s="4" t="s">
        <v>5</v>
      </c>
      <c r="D13" s="4"/>
      <c r="E13" s="4"/>
      <c r="F13" s="4"/>
    </row>
    <row r="14" spans="2:6" ht="12.75">
      <c r="B14" s="72">
        <v>30000</v>
      </c>
      <c r="C14" s="4" t="s">
        <v>6</v>
      </c>
      <c r="D14" s="4"/>
      <c r="E14" s="88"/>
      <c r="F14" s="4"/>
    </row>
    <row r="15" spans="2:6" ht="12.75">
      <c r="B15" s="73">
        <v>0.01</v>
      </c>
      <c r="C15" s="4" t="s">
        <v>56</v>
      </c>
      <c r="D15" s="4"/>
      <c r="E15" s="4"/>
      <c r="F15" s="4"/>
    </row>
    <row r="16" spans="2:6" ht="12.75">
      <c r="B16" s="73"/>
      <c r="C16" s="4" t="s">
        <v>7</v>
      </c>
      <c r="D16" s="4"/>
      <c r="E16" s="4"/>
      <c r="F16" s="4"/>
    </row>
    <row r="17" spans="2:6" ht="12.75">
      <c r="B17" s="72"/>
      <c r="C17" s="4" t="s">
        <v>8</v>
      </c>
      <c r="D17" s="4"/>
      <c r="E17" s="4"/>
      <c r="F17" s="4"/>
    </row>
    <row r="18" spans="2:6" ht="12.75">
      <c r="B18" s="73"/>
      <c r="C18" s="4" t="s">
        <v>9</v>
      </c>
      <c r="D18" s="4"/>
      <c r="E18" s="4"/>
      <c r="F18" s="4"/>
    </row>
    <row r="19" spans="2:6" ht="12.75">
      <c r="B19" s="50"/>
      <c r="C19" s="4"/>
      <c r="D19" s="4"/>
      <c r="E19" s="4"/>
      <c r="F19" s="4"/>
    </row>
    <row r="20" spans="2:6" ht="12.75">
      <c r="B20" s="50" t="s">
        <v>52</v>
      </c>
      <c r="C20" s="4"/>
      <c r="D20" s="4"/>
      <c r="E20" s="4"/>
      <c r="F20" s="4"/>
    </row>
    <row r="21" spans="2:6" ht="12.75">
      <c r="B21" s="74">
        <v>36</v>
      </c>
      <c r="C21" s="4" t="s">
        <v>10</v>
      </c>
      <c r="D21" s="4"/>
      <c r="E21" s="4"/>
      <c r="F21" s="4"/>
    </row>
    <row r="22" spans="2:6" ht="12.75">
      <c r="B22" s="74">
        <v>4.25</v>
      </c>
      <c r="C22" s="4" t="s">
        <v>11</v>
      </c>
      <c r="D22" s="4"/>
      <c r="E22" s="4" t="s">
        <v>74</v>
      </c>
      <c r="F22" s="4"/>
    </row>
    <row r="23" spans="2:6" ht="12.75">
      <c r="B23" s="75">
        <v>1</v>
      </c>
      <c r="C23" s="4" t="s">
        <v>59</v>
      </c>
      <c r="D23" s="4"/>
      <c r="E23" s="4"/>
      <c r="F23" s="4"/>
    </row>
    <row r="24" spans="2:6" ht="12.75">
      <c r="B24" s="90">
        <v>0.77</v>
      </c>
      <c r="C24" s="4" t="s">
        <v>60</v>
      </c>
      <c r="D24" s="4"/>
      <c r="E24" s="4"/>
      <c r="F24" s="4"/>
    </row>
    <row r="25" spans="2:6" ht="12.75">
      <c r="B25" s="75">
        <v>0.77</v>
      </c>
      <c r="C25" s="4" t="s">
        <v>20</v>
      </c>
      <c r="D25" s="4"/>
      <c r="E25" s="4"/>
      <c r="F25" s="4"/>
    </row>
    <row r="26" spans="2:6" ht="12.75">
      <c r="B26" s="80">
        <f>B23*B25</f>
        <v>0.77</v>
      </c>
      <c r="C26" s="4" t="s">
        <v>58</v>
      </c>
      <c r="D26" s="4"/>
      <c r="E26" s="4"/>
      <c r="F26" s="4"/>
    </row>
    <row r="27" ht="12.75">
      <c r="B27" s="27"/>
    </row>
    <row r="28" ht="12.75">
      <c r="B28" s="28" t="s">
        <v>30</v>
      </c>
    </row>
    <row r="29" spans="1:26" s="19" customFormat="1" ht="11.25">
      <c r="A29" s="18"/>
      <c r="B29" s="86">
        <v>0.046</v>
      </c>
      <c r="C29" s="14" t="s">
        <v>25</v>
      </c>
      <c r="H29" s="30"/>
      <c r="I29" s="30"/>
      <c r="J29" s="30"/>
      <c r="K29" s="62"/>
      <c r="Q29" s="18"/>
      <c r="S29" s="40"/>
      <c r="T29" s="18"/>
      <c r="U29" s="18"/>
      <c r="W29" s="100"/>
      <c r="X29" s="100"/>
      <c r="Y29" s="100"/>
      <c r="Z29" s="100"/>
    </row>
    <row r="30" spans="1:26" s="19" customFormat="1" ht="11.25">
      <c r="A30" s="18"/>
      <c r="B30" s="86">
        <v>0</v>
      </c>
      <c r="C30" s="15" t="s">
        <v>24</v>
      </c>
      <c r="D30" s="18"/>
      <c r="E30" s="18"/>
      <c r="F30" s="18"/>
      <c r="G30" s="20"/>
      <c r="H30" s="31"/>
      <c r="I30" s="31"/>
      <c r="J30" s="31"/>
      <c r="K30" s="63"/>
      <c r="L30" s="21"/>
      <c r="Q30" s="18"/>
      <c r="S30" s="40"/>
      <c r="T30" s="18"/>
      <c r="U30" s="18"/>
      <c r="W30" s="100"/>
      <c r="X30" s="100"/>
      <c r="Y30" s="100"/>
      <c r="Z30" s="100"/>
    </row>
    <row r="31" spans="1:26" s="19" customFormat="1" ht="11.25">
      <c r="A31" s="18"/>
      <c r="B31" s="86">
        <f>B29+B30</f>
        <v>0.046</v>
      </c>
      <c r="C31" s="14" t="s">
        <v>23</v>
      </c>
      <c r="H31" s="30"/>
      <c r="I31" s="30"/>
      <c r="J31" s="30"/>
      <c r="K31" s="62"/>
      <c r="Q31" s="18"/>
      <c r="S31" s="40"/>
      <c r="T31" s="18"/>
      <c r="U31" s="18"/>
      <c r="W31" s="100"/>
      <c r="X31" s="100"/>
      <c r="Y31" s="100"/>
      <c r="Z31" s="100"/>
    </row>
    <row r="32" spans="1:26" s="19" customFormat="1" ht="11.25">
      <c r="A32" s="18"/>
      <c r="B32" s="87">
        <v>0</v>
      </c>
      <c r="C32" s="14" t="s">
        <v>29</v>
      </c>
      <c r="E32" s="121" t="s">
        <v>79</v>
      </c>
      <c r="H32" s="30"/>
      <c r="I32" s="30"/>
      <c r="J32" s="30"/>
      <c r="K32" s="62"/>
      <c r="Q32" s="18"/>
      <c r="S32" s="40"/>
      <c r="T32" s="18"/>
      <c r="U32" s="18"/>
      <c r="W32" s="100"/>
      <c r="X32" s="100"/>
      <c r="Y32" s="100"/>
      <c r="Z32" s="100"/>
    </row>
    <row r="33" ht="12.75"/>
    <row r="35" spans="1:26" s="5" customFormat="1" ht="21">
      <c r="A35" s="5" t="s">
        <v>12</v>
      </c>
      <c r="B35" s="5" t="s">
        <v>21</v>
      </c>
      <c r="C35" s="5" t="s">
        <v>22</v>
      </c>
      <c r="D35" s="5" t="s">
        <v>31</v>
      </c>
      <c r="E35" s="5" t="s">
        <v>32</v>
      </c>
      <c r="F35" s="5" t="s">
        <v>36</v>
      </c>
      <c r="G35" s="5" t="s">
        <v>13</v>
      </c>
      <c r="H35" s="32" t="s">
        <v>14</v>
      </c>
      <c r="I35" s="32" t="s">
        <v>33</v>
      </c>
      <c r="J35" s="32" t="s">
        <v>34</v>
      </c>
      <c r="K35" s="64" t="s">
        <v>35</v>
      </c>
      <c r="L35" s="5" t="s">
        <v>37</v>
      </c>
      <c r="M35" s="5" t="s">
        <v>15</v>
      </c>
      <c r="N35" s="5" t="s">
        <v>26</v>
      </c>
      <c r="O35" s="5" t="s">
        <v>16</v>
      </c>
      <c r="P35" s="5" t="s">
        <v>17</v>
      </c>
      <c r="Q35" s="5" t="s">
        <v>12</v>
      </c>
      <c r="R35" s="5" t="s">
        <v>18</v>
      </c>
      <c r="S35" s="37" t="s">
        <v>28</v>
      </c>
      <c r="T35" s="5" t="s">
        <v>68</v>
      </c>
      <c r="U35" s="5" t="s">
        <v>12</v>
      </c>
      <c r="V35" s="5" t="s">
        <v>69</v>
      </c>
      <c r="W35" s="37" t="s">
        <v>28</v>
      </c>
      <c r="X35" s="5" t="s">
        <v>77</v>
      </c>
      <c r="Y35" s="5" t="s">
        <v>12</v>
      </c>
      <c r="Z35" s="5" t="s">
        <v>75</v>
      </c>
    </row>
    <row r="36" spans="1:27" ht="13.5" thickBot="1">
      <c r="A36" s="3">
        <v>0</v>
      </c>
      <c r="B36" s="7"/>
      <c r="C36" s="8"/>
      <c r="D36" s="8"/>
      <c r="E36" s="8"/>
      <c r="F36" s="8"/>
      <c r="H36" s="33"/>
      <c r="I36" s="33"/>
      <c r="J36" s="33"/>
      <c r="K36" s="65"/>
      <c r="L36" s="10"/>
      <c r="N36" s="43">
        <f>B17</f>
        <v>0</v>
      </c>
      <c r="O36" s="43">
        <f>B9+B10</f>
        <v>200000</v>
      </c>
      <c r="P36" s="17">
        <f>-(N36+O36)</f>
        <v>-200000</v>
      </c>
      <c r="Q36" s="3">
        <v>0</v>
      </c>
      <c r="R36" s="22">
        <f>P36</f>
        <v>-200000</v>
      </c>
      <c r="S36" s="39">
        <v>1</v>
      </c>
      <c r="T36" s="36">
        <f>P36*S36</f>
        <v>-200000</v>
      </c>
      <c r="U36" s="3">
        <v>0</v>
      </c>
      <c r="V36" s="22">
        <f>T36</f>
        <v>-200000</v>
      </c>
      <c r="W36" s="102">
        <v>1</v>
      </c>
      <c r="X36" s="101">
        <f>P36*W36</f>
        <v>-200000</v>
      </c>
      <c r="Y36" s="3">
        <v>0</v>
      </c>
      <c r="Z36" s="101">
        <f>X36</f>
        <v>-200000</v>
      </c>
      <c r="AA36" s="104"/>
    </row>
    <row r="37" spans="1:27" ht="13.5" thickBot="1">
      <c r="A37" s="3">
        <v>0.5</v>
      </c>
      <c r="B37" s="12"/>
      <c r="C37" s="11"/>
      <c r="D37" s="11"/>
      <c r="E37" s="11"/>
      <c r="F37" s="11"/>
      <c r="G37" s="93" t="s">
        <v>71</v>
      </c>
      <c r="H37" s="33"/>
      <c r="I37" s="33"/>
      <c r="J37" s="33"/>
      <c r="K37" s="65"/>
      <c r="L37" s="10"/>
      <c r="N37" s="43">
        <f>O37*B16</f>
        <v>0</v>
      </c>
      <c r="O37" s="43">
        <f>B11+B12+B13</f>
        <v>1750000</v>
      </c>
      <c r="P37" s="17">
        <f>-(N37+O37)</f>
        <v>-1750000</v>
      </c>
      <c r="Q37" s="3">
        <v>0.5</v>
      </c>
      <c r="R37" s="51">
        <f>P37+R36</f>
        <v>-1950000</v>
      </c>
      <c r="S37" s="39">
        <v>1</v>
      </c>
      <c r="T37" s="36">
        <f>P37*S37</f>
        <v>-1750000</v>
      </c>
      <c r="U37" s="3">
        <v>0.5</v>
      </c>
      <c r="V37" s="22">
        <f aca="true" t="shared" si="0" ref="V37:V57">T37+V36</f>
        <v>-1950000</v>
      </c>
      <c r="W37" s="102">
        <v>1</v>
      </c>
      <c r="X37" s="101">
        <f aca="true" t="shared" si="1" ref="X37:X57">P37*W37</f>
        <v>-1750000</v>
      </c>
      <c r="Y37" s="3">
        <v>0.5</v>
      </c>
      <c r="Z37" s="101">
        <f>X37+Z36</f>
        <v>-1950000</v>
      </c>
      <c r="AA37" s="104"/>
    </row>
    <row r="38" spans="1:27" ht="12.75">
      <c r="A38" s="3">
        <v>1</v>
      </c>
      <c r="B38" s="12">
        <v>150</v>
      </c>
      <c r="C38" s="52">
        <f aca="true" t="shared" si="2" ref="C38:C57">B38*B$25</f>
        <v>115.5</v>
      </c>
      <c r="D38" s="23">
        <f>C38*$B$21</f>
        <v>4158</v>
      </c>
      <c r="E38" s="56">
        <f>D38*$B$31</f>
        <v>191.268</v>
      </c>
      <c r="F38" s="23">
        <f>D38-E38</f>
        <v>3966.732</v>
      </c>
      <c r="G38" s="95">
        <v>486000</v>
      </c>
      <c r="H38" s="34">
        <f aca="true" t="shared" si="3" ref="H38:H49">G38*B$25</f>
        <v>374220</v>
      </c>
      <c r="I38" s="34">
        <f>H38*$B$22</f>
        <v>1590435</v>
      </c>
      <c r="J38" s="59">
        <f>I38*$B$32</f>
        <v>0</v>
      </c>
      <c r="K38" s="66">
        <f>I38-J38</f>
        <v>1590435</v>
      </c>
      <c r="L38" s="13">
        <f>K38+F38</f>
        <v>1594401.732</v>
      </c>
      <c r="M38" s="16">
        <f>B14</f>
        <v>30000</v>
      </c>
      <c r="N38" s="16">
        <f aca="true" t="shared" si="4" ref="N38:N49">M38*B$18</f>
        <v>0</v>
      </c>
      <c r="O38" s="13"/>
      <c r="P38" s="22">
        <f>L38-M38-N38-O38</f>
        <v>1564401.732</v>
      </c>
      <c r="Q38" s="3">
        <v>1</v>
      </c>
      <c r="R38" s="22">
        <f>P38+R37</f>
        <v>-385598.2679999999</v>
      </c>
      <c r="S38" s="40">
        <v>0.9512</v>
      </c>
      <c r="T38" s="36">
        <f>P38*S38</f>
        <v>1488058.9274784</v>
      </c>
      <c r="U38" s="3">
        <v>1</v>
      </c>
      <c r="V38" s="22">
        <f t="shared" si="0"/>
        <v>-461941.07252159994</v>
      </c>
      <c r="W38" s="44">
        <v>0.7788</v>
      </c>
      <c r="X38" s="101">
        <f t="shared" si="1"/>
        <v>1218356.0688816002</v>
      </c>
      <c r="Y38" s="3">
        <v>1</v>
      </c>
      <c r="Z38" s="101">
        <f aca="true" t="shared" si="5" ref="Z38:Z57">X38+Z37</f>
        <v>-731643.9311183998</v>
      </c>
      <c r="AA38" s="104"/>
    </row>
    <row r="39" spans="1:27" ht="12.75">
      <c r="A39" s="3">
        <v>2</v>
      </c>
      <c r="B39" s="12">
        <v>130</v>
      </c>
      <c r="C39" s="53">
        <f t="shared" si="2"/>
        <v>100.10000000000001</v>
      </c>
      <c r="D39" s="23">
        <f>C39*$B$21</f>
        <v>3603.6000000000004</v>
      </c>
      <c r="E39" s="56">
        <f aca="true" t="shared" si="6" ref="E39:E57">D39*$B$31</f>
        <v>165.7656</v>
      </c>
      <c r="F39" s="23">
        <f aca="true" t="shared" si="7" ref="F39:F49">D39-E39</f>
        <v>3437.8344</v>
      </c>
      <c r="G39" s="96">
        <v>260000</v>
      </c>
      <c r="H39" s="82">
        <f t="shared" si="3"/>
        <v>200200</v>
      </c>
      <c r="I39" s="34">
        <f aca="true" t="shared" si="8" ref="I39:I57">H39*$B$22</f>
        <v>850850</v>
      </c>
      <c r="J39" s="59">
        <f aca="true" t="shared" si="9" ref="J39:J57">I39*$B$32</f>
        <v>0</v>
      </c>
      <c r="K39" s="66">
        <f aca="true" t="shared" si="10" ref="K39:K57">I39-J39</f>
        <v>850850</v>
      </c>
      <c r="L39" s="13">
        <f aca="true" t="shared" si="11" ref="L39:L57">K39+F39</f>
        <v>854287.8344</v>
      </c>
      <c r="M39" s="16">
        <f aca="true" t="shared" si="12" ref="M39:M49">M38*B$15+M38</f>
        <v>30300</v>
      </c>
      <c r="N39" s="16">
        <f t="shared" si="4"/>
        <v>0</v>
      </c>
      <c r="O39" s="13"/>
      <c r="P39" s="22">
        <f aca="true" t="shared" si="13" ref="P39:P49">L39-M39-N39-O39</f>
        <v>823987.8344</v>
      </c>
      <c r="Q39" s="3">
        <v>2</v>
      </c>
      <c r="R39" s="22">
        <f aca="true" t="shared" si="14" ref="R39:R49">P39+R38</f>
        <v>438389.5664000001</v>
      </c>
      <c r="S39" s="40">
        <v>0.8607</v>
      </c>
      <c r="T39" s="36">
        <f aca="true" t="shared" si="15" ref="T39:T49">P39*S38</f>
        <v>783777.2280812801</v>
      </c>
      <c r="U39" s="3">
        <v>2</v>
      </c>
      <c r="V39" s="22">
        <f t="shared" si="0"/>
        <v>321836.1555596802</v>
      </c>
      <c r="W39" s="44">
        <v>0.4724</v>
      </c>
      <c r="X39" s="101">
        <f t="shared" si="1"/>
        <v>389251.85297056</v>
      </c>
      <c r="Y39" s="3">
        <v>2</v>
      </c>
      <c r="Z39" s="101">
        <f t="shared" si="5"/>
        <v>-342392.0781478398</v>
      </c>
      <c r="AA39" s="104"/>
    </row>
    <row r="40" spans="1:27" ht="12.75">
      <c r="A40" s="3">
        <v>3</v>
      </c>
      <c r="B40" s="12">
        <v>76</v>
      </c>
      <c r="C40" s="53">
        <f t="shared" si="2"/>
        <v>58.52</v>
      </c>
      <c r="D40" s="23">
        <f aca="true" t="shared" si="16" ref="D40:D57">C40*$B$21</f>
        <v>2106.7200000000003</v>
      </c>
      <c r="E40" s="56">
        <f t="shared" si="6"/>
        <v>96.90912000000002</v>
      </c>
      <c r="F40" s="23">
        <f t="shared" si="7"/>
        <v>2009.8108800000002</v>
      </c>
      <c r="G40" s="95">
        <v>192465</v>
      </c>
      <c r="H40" s="82">
        <f t="shared" si="3"/>
        <v>148198.05000000002</v>
      </c>
      <c r="I40" s="34">
        <f t="shared" si="8"/>
        <v>629841.7125</v>
      </c>
      <c r="J40" s="59">
        <f t="shared" si="9"/>
        <v>0</v>
      </c>
      <c r="K40" s="66">
        <f t="shared" si="10"/>
        <v>629841.7125</v>
      </c>
      <c r="L40" s="13">
        <f t="shared" si="11"/>
        <v>631851.52338</v>
      </c>
      <c r="M40" s="16">
        <f t="shared" si="12"/>
        <v>30603</v>
      </c>
      <c r="N40" s="16">
        <f t="shared" si="4"/>
        <v>0</v>
      </c>
      <c r="O40" s="13"/>
      <c r="P40" s="22">
        <f t="shared" si="13"/>
        <v>601248.52338</v>
      </c>
      <c r="Q40" s="3">
        <v>3</v>
      </c>
      <c r="R40" s="22">
        <f t="shared" si="14"/>
        <v>1039638.0897800002</v>
      </c>
      <c r="S40" s="40">
        <v>0.7788</v>
      </c>
      <c r="T40" s="36">
        <f t="shared" si="15"/>
        <v>517494.60407316603</v>
      </c>
      <c r="U40" s="3">
        <v>3</v>
      </c>
      <c r="V40" s="22">
        <f t="shared" si="0"/>
        <v>839330.7596328462</v>
      </c>
      <c r="W40" s="44">
        <v>0.2865</v>
      </c>
      <c r="X40" s="101">
        <f t="shared" si="1"/>
        <v>172257.70194837</v>
      </c>
      <c r="Y40" s="3">
        <v>3</v>
      </c>
      <c r="Z40" s="101">
        <f t="shared" si="5"/>
        <v>-170134.3761994698</v>
      </c>
      <c r="AA40" s="104"/>
    </row>
    <row r="41" spans="1:27" ht="12.75">
      <c r="A41" s="3">
        <v>4</v>
      </c>
      <c r="B41" s="12">
        <v>125</v>
      </c>
      <c r="C41" s="53">
        <f t="shared" si="2"/>
        <v>96.25</v>
      </c>
      <c r="D41" s="23">
        <f t="shared" si="16"/>
        <v>3465</v>
      </c>
      <c r="E41" s="56">
        <f t="shared" si="6"/>
        <v>159.39</v>
      </c>
      <c r="F41" s="23">
        <f t="shared" si="7"/>
        <v>3305.61</v>
      </c>
      <c r="G41" s="83">
        <v>176784</v>
      </c>
      <c r="H41" s="82">
        <f t="shared" si="3"/>
        <v>136123.68</v>
      </c>
      <c r="I41" s="34">
        <f t="shared" si="8"/>
        <v>578525.64</v>
      </c>
      <c r="J41" s="59">
        <f t="shared" si="9"/>
        <v>0</v>
      </c>
      <c r="K41" s="66">
        <f t="shared" si="10"/>
        <v>578525.64</v>
      </c>
      <c r="L41" s="13">
        <f t="shared" si="11"/>
        <v>581831.25</v>
      </c>
      <c r="M41" s="16">
        <f t="shared" si="12"/>
        <v>30909.03</v>
      </c>
      <c r="N41" s="16">
        <f t="shared" si="4"/>
        <v>0</v>
      </c>
      <c r="O41" s="77"/>
      <c r="P41" s="22">
        <f t="shared" si="13"/>
        <v>550922.22</v>
      </c>
      <c r="Q41" s="3">
        <v>4</v>
      </c>
      <c r="R41" s="22">
        <f t="shared" si="14"/>
        <v>1590560.3097800002</v>
      </c>
      <c r="S41" s="40">
        <v>0.7047</v>
      </c>
      <c r="T41" s="36">
        <f t="shared" si="15"/>
        <v>429058.224936</v>
      </c>
      <c r="U41" s="3">
        <v>4</v>
      </c>
      <c r="V41" s="22">
        <f t="shared" si="0"/>
        <v>1268388.9845688462</v>
      </c>
      <c r="W41" s="44">
        <v>0.1738</v>
      </c>
      <c r="X41" s="101">
        <f t="shared" si="1"/>
        <v>95750.281836</v>
      </c>
      <c r="Y41" s="3">
        <v>4</v>
      </c>
      <c r="Z41" s="101">
        <f t="shared" si="5"/>
        <v>-74384.09436346982</v>
      </c>
      <c r="AA41" s="104"/>
    </row>
    <row r="42" spans="1:27" ht="12.75">
      <c r="A42" s="3">
        <v>5</v>
      </c>
      <c r="B42" s="12">
        <v>107</v>
      </c>
      <c r="C42" s="53">
        <f t="shared" si="2"/>
        <v>82.39</v>
      </c>
      <c r="D42" s="23">
        <f t="shared" si="16"/>
        <v>2966.04</v>
      </c>
      <c r="E42" s="56">
        <f t="shared" si="6"/>
        <v>136.43784</v>
      </c>
      <c r="F42" s="23">
        <f t="shared" si="7"/>
        <v>2829.60216</v>
      </c>
      <c r="G42" s="83">
        <v>176498</v>
      </c>
      <c r="H42" s="82">
        <f t="shared" si="3"/>
        <v>135903.46</v>
      </c>
      <c r="I42" s="34">
        <f t="shared" si="8"/>
        <v>577589.705</v>
      </c>
      <c r="J42" s="59">
        <f t="shared" si="9"/>
        <v>0</v>
      </c>
      <c r="K42" s="66">
        <f t="shared" si="10"/>
        <v>577589.705</v>
      </c>
      <c r="L42" s="13">
        <f t="shared" si="11"/>
        <v>580419.30716</v>
      </c>
      <c r="M42" s="16">
        <f t="shared" si="12"/>
        <v>31218.1203</v>
      </c>
      <c r="N42" s="16">
        <f t="shared" si="4"/>
        <v>0</v>
      </c>
      <c r="O42" s="13"/>
      <c r="P42" s="22">
        <f t="shared" si="13"/>
        <v>549201.18686</v>
      </c>
      <c r="Q42" s="3">
        <v>5</v>
      </c>
      <c r="R42" s="22">
        <f t="shared" si="14"/>
        <v>2139761.4966400005</v>
      </c>
      <c r="S42" s="40">
        <v>0.6376</v>
      </c>
      <c r="T42" s="36">
        <f t="shared" si="15"/>
        <v>387022.076380242</v>
      </c>
      <c r="U42" s="3">
        <v>5</v>
      </c>
      <c r="V42" s="22">
        <f t="shared" si="0"/>
        <v>1655411.060949088</v>
      </c>
      <c r="W42" s="44">
        <v>0.1054</v>
      </c>
      <c r="X42" s="101">
        <f t="shared" si="1"/>
        <v>57885.805095044</v>
      </c>
      <c r="Y42" s="3">
        <v>5</v>
      </c>
      <c r="Z42" s="101">
        <f t="shared" si="5"/>
        <v>-16498.28926842582</v>
      </c>
      <c r="AA42" s="104"/>
    </row>
    <row r="43" spans="1:27" ht="12.75">
      <c r="A43" s="3">
        <v>6</v>
      </c>
      <c r="B43" s="12">
        <v>326</v>
      </c>
      <c r="C43" s="53">
        <f t="shared" si="2"/>
        <v>251.02</v>
      </c>
      <c r="D43" s="23">
        <f t="shared" si="16"/>
        <v>9036.720000000001</v>
      </c>
      <c r="E43" s="56">
        <f t="shared" si="6"/>
        <v>415.68912000000006</v>
      </c>
      <c r="F43" s="23">
        <f t="shared" si="7"/>
        <v>8621.03088</v>
      </c>
      <c r="G43" s="83">
        <v>147285</v>
      </c>
      <c r="H43" s="82">
        <f t="shared" si="3"/>
        <v>113409.45</v>
      </c>
      <c r="I43" s="34">
        <f t="shared" si="8"/>
        <v>481990.1625</v>
      </c>
      <c r="J43" s="59">
        <f t="shared" si="9"/>
        <v>0</v>
      </c>
      <c r="K43" s="66">
        <f t="shared" si="10"/>
        <v>481990.1625</v>
      </c>
      <c r="L43" s="13">
        <f t="shared" si="11"/>
        <v>490611.19337999995</v>
      </c>
      <c r="M43" s="16">
        <f t="shared" si="12"/>
        <v>31530.301503</v>
      </c>
      <c r="N43" s="16">
        <f t="shared" si="4"/>
        <v>0</v>
      </c>
      <c r="O43" s="13"/>
      <c r="P43" s="22">
        <f t="shared" si="13"/>
        <v>459080.8918769999</v>
      </c>
      <c r="Q43" s="3">
        <v>6</v>
      </c>
      <c r="R43" s="22">
        <f t="shared" si="14"/>
        <v>2598842.3885170002</v>
      </c>
      <c r="S43" s="40">
        <v>0.5769</v>
      </c>
      <c r="T43" s="36">
        <f t="shared" si="15"/>
        <v>292709.97666077514</v>
      </c>
      <c r="U43" s="3">
        <v>6</v>
      </c>
      <c r="V43" s="22">
        <f t="shared" si="0"/>
        <v>1948121.037609863</v>
      </c>
      <c r="W43" s="44">
        <v>0.0639</v>
      </c>
      <c r="X43" s="101">
        <f t="shared" si="1"/>
        <v>29335.268990940294</v>
      </c>
      <c r="Y43" s="3">
        <v>6</v>
      </c>
      <c r="Z43" s="101">
        <f t="shared" si="5"/>
        <v>12836.979722514476</v>
      </c>
      <c r="AA43" s="104"/>
    </row>
    <row r="44" spans="1:27" ht="12.75">
      <c r="A44" s="3">
        <v>7</v>
      </c>
      <c r="B44" s="12">
        <v>149</v>
      </c>
      <c r="C44" s="53">
        <f t="shared" si="2"/>
        <v>114.73</v>
      </c>
      <c r="D44" s="23">
        <f t="shared" si="16"/>
        <v>4130.28</v>
      </c>
      <c r="E44" s="56">
        <f t="shared" si="6"/>
        <v>189.99287999999999</v>
      </c>
      <c r="F44" s="23">
        <f t="shared" si="7"/>
        <v>3940.28712</v>
      </c>
      <c r="G44" s="83">
        <v>158596</v>
      </c>
      <c r="H44" s="82">
        <f t="shared" si="3"/>
        <v>122118.92</v>
      </c>
      <c r="I44" s="34">
        <f t="shared" si="8"/>
        <v>519005.41</v>
      </c>
      <c r="J44" s="59">
        <f t="shared" si="9"/>
        <v>0</v>
      </c>
      <c r="K44" s="66">
        <f t="shared" si="10"/>
        <v>519005.41</v>
      </c>
      <c r="L44" s="13">
        <f t="shared" si="11"/>
        <v>522945.69711999997</v>
      </c>
      <c r="M44" s="16">
        <f t="shared" si="12"/>
        <v>31845.60451803</v>
      </c>
      <c r="N44" s="16">
        <f t="shared" si="4"/>
        <v>0</v>
      </c>
      <c r="O44" s="13"/>
      <c r="P44" s="22">
        <f t="shared" si="13"/>
        <v>491100.09260196995</v>
      </c>
      <c r="Q44" s="3">
        <v>7</v>
      </c>
      <c r="R44" s="22">
        <f t="shared" si="14"/>
        <v>3089942.48111897</v>
      </c>
      <c r="S44" s="40">
        <v>0.522</v>
      </c>
      <c r="T44" s="36">
        <f t="shared" si="15"/>
        <v>283315.6434220765</v>
      </c>
      <c r="U44" s="3">
        <v>7</v>
      </c>
      <c r="V44" s="22">
        <f t="shared" si="0"/>
        <v>2231436.6810319396</v>
      </c>
      <c r="W44" s="44">
        <v>0.0388</v>
      </c>
      <c r="X44" s="101">
        <f t="shared" si="1"/>
        <v>19054.683592956433</v>
      </c>
      <c r="Y44" s="3">
        <v>7</v>
      </c>
      <c r="Z44" s="101">
        <f t="shared" si="5"/>
        <v>31891.66331547091</v>
      </c>
      <c r="AA44" s="104"/>
    </row>
    <row r="45" spans="1:27" ht="12.75">
      <c r="A45" s="3">
        <v>8</v>
      </c>
      <c r="B45" s="12">
        <v>255</v>
      </c>
      <c r="C45" s="53">
        <f t="shared" si="2"/>
        <v>196.35</v>
      </c>
      <c r="D45" s="23">
        <f t="shared" si="16"/>
        <v>7068.599999999999</v>
      </c>
      <c r="E45" s="56">
        <f t="shared" si="6"/>
        <v>325.1556</v>
      </c>
      <c r="F45" s="23">
        <f t="shared" si="7"/>
        <v>6743.444399999999</v>
      </c>
      <c r="G45" s="84">
        <v>136148</v>
      </c>
      <c r="H45" s="82">
        <f t="shared" si="3"/>
        <v>104833.96</v>
      </c>
      <c r="I45" s="34">
        <f t="shared" si="8"/>
        <v>445544.33</v>
      </c>
      <c r="J45" s="59">
        <f t="shared" si="9"/>
        <v>0</v>
      </c>
      <c r="K45" s="66">
        <f t="shared" si="10"/>
        <v>445544.33</v>
      </c>
      <c r="L45" s="13">
        <f t="shared" si="11"/>
        <v>452287.7744</v>
      </c>
      <c r="M45" s="16">
        <f t="shared" si="12"/>
        <v>32164.0605632103</v>
      </c>
      <c r="N45" s="16">
        <f t="shared" si="4"/>
        <v>0</v>
      </c>
      <c r="O45" s="13"/>
      <c r="P45" s="22">
        <f t="shared" si="13"/>
        <v>420123.7138367897</v>
      </c>
      <c r="Q45" s="3">
        <v>8</v>
      </c>
      <c r="R45" s="22">
        <f t="shared" si="14"/>
        <v>3510066.1949557597</v>
      </c>
      <c r="S45" s="40">
        <v>0.4724</v>
      </c>
      <c r="T45" s="36">
        <f t="shared" si="15"/>
        <v>219304.57862280423</v>
      </c>
      <c r="U45" s="3">
        <v>8</v>
      </c>
      <c r="V45" s="22">
        <f t="shared" si="0"/>
        <v>2450741.2596547436</v>
      </c>
      <c r="W45" s="44">
        <v>0.0235</v>
      </c>
      <c r="X45" s="101">
        <f t="shared" si="1"/>
        <v>9872.907275164558</v>
      </c>
      <c r="Y45" s="3">
        <v>8</v>
      </c>
      <c r="Z45" s="101">
        <f t="shared" si="5"/>
        <v>41764.57059063547</v>
      </c>
      <c r="AA45" s="104"/>
    </row>
    <row r="46" spans="1:27" ht="12.75">
      <c r="A46" s="3">
        <v>9</v>
      </c>
      <c r="B46" s="12">
        <v>179</v>
      </c>
      <c r="C46" s="53">
        <f t="shared" si="2"/>
        <v>137.83</v>
      </c>
      <c r="D46" s="23">
        <f t="shared" si="16"/>
        <v>4961.88</v>
      </c>
      <c r="E46" s="56">
        <f t="shared" si="6"/>
        <v>228.24648</v>
      </c>
      <c r="F46" s="23">
        <f t="shared" si="7"/>
        <v>4733.63352</v>
      </c>
      <c r="G46" s="84">
        <v>101829</v>
      </c>
      <c r="H46" s="82">
        <f t="shared" si="3"/>
        <v>78408.33</v>
      </c>
      <c r="I46" s="34">
        <f t="shared" si="8"/>
        <v>333235.4025</v>
      </c>
      <c r="J46" s="59">
        <f t="shared" si="9"/>
        <v>0</v>
      </c>
      <c r="K46" s="66">
        <f t="shared" si="10"/>
        <v>333235.4025</v>
      </c>
      <c r="L46" s="13">
        <f t="shared" si="11"/>
        <v>337969.03602</v>
      </c>
      <c r="M46" s="16">
        <f t="shared" si="12"/>
        <v>32485.701168842403</v>
      </c>
      <c r="N46" s="16">
        <f t="shared" si="4"/>
        <v>0</v>
      </c>
      <c r="O46" s="13"/>
      <c r="P46" s="22">
        <f t="shared" si="13"/>
        <v>305483.3348511576</v>
      </c>
      <c r="Q46" s="3">
        <v>9</v>
      </c>
      <c r="R46" s="22">
        <f t="shared" si="14"/>
        <v>3815549.5298069175</v>
      </c>
      <c r="S46" s="40">
        <v>0.4274</v>
      </c>
      <c r="T46" s="36">
        <f t="shared" si="15"/>
        <v>144310.32738368685</v>
      </c>
      <c r="U46" s="3">
        <v>9</v>
      </c>
      <c r="V46" s="22">
        <f t="shared" si="0"/>
        <v>2595051.5870384304</v>
      </c>
      <c r="W46" s="44">
        <v>0.0143</v>
      </c>
      <c r="X46" s="101">
        <f t="shared" si="1"/>
        <v>4368.411688371554</v>
      </c>
      <c r="Y46" s="3">
        <v>9</v>
      </c>
      <c r="Z46" s="101">
        <f t="shared" si="5"/>
        <v>46132.982279007025</v>
      </c>
      <c r="AA46" s="104"/>
    </row>
    <row r="47" spans="1:27" ht="12.75">
      <c r="A47" s="3">
        <v>10</v>
      </c>
      <c r="B47" s="12">
        <v>287</v>
      </c>
      <c r="C47" s="53">
        <f t="shared" si="2"/>
        <v>220.99</v>
      </c>
      <c r="D47" s="23">
        <f t="shared" si="16"/>
        <v>7955.64</v>
      </c>
      <c r="E47" s="56">
        <f t="shared" si="6"/>
        <v>365.95944000000003</v>
      </c>
      <c r="F47" s="23">
        <f t="shared" si="7"/>
        <v>7589.680560000001</v>
      </c>
      <c r="G47" s="84">
        <v>134891</v>
      </c>
      <c r="H47" s="82">
        <f t="shared" si="3"/>
        <v>103866.07</v>
      </c>
      <c r="I47" s="34">
        <f t="shared" si="8"/>
        <v>441430.79750000004</v>
      </c>
      <c r="J47" s="59">
        <f t="shared" si="9"/>
        <v>0</v>
      </c>
      <c r="K47" s="66">
        <f t="shared" si="10"/>
        <v>441430.79750000004</v>
      </c>
      <c r="L47" s="13">
        <f t="shared" si="11"/>
        <v>449020.47806000005</v>
      </c>
      <c r="M47" s="16">
        <f t="shared" si="12"/>
        <v>32810.558180530825</v>
      </c>
      <c r="N47" s="16">
        <f t="shared" si="4"/>
        <v>0</v>
      </c>
      <c r="O47" s="13"/>
      <c r="P47" s="22">
        <f t="shared" si="13"/>
        <v>416209.9198794692</v>
      </c>
      <c r="Q47" s="3">
        <v>10</v>
      </c>
      <c r="R47" s="22">
        <f t="shared" si="14"/>
        <v>4231759.449686387</v>
      </c>
      <c r="S47" s="40">
        <v>0.3867</v>
      </c>
      <c r="T47" s="36">
        <f t="shared" si="15"/>
        <v>177888.11975648513</v>
      </c>
      <c r="U47" s="3">
        <v>10</v>
      </c>
      <c r="V47" s="22">
        <f t="shared" si="0"/>
        <v>2772939.7067949157</v>
      </c>
      <c r="W47" s="44">
        <v>0.0087</v>
      </c>
      <c r="X47" s="101">
        <f t="shared" si="1"/>
        <v>3621.0263029513817</v>
      </c>
      <c r="Y47" s="3">
        <v>10</v>
      </c>
      <c r="Z47" s="101">
        <f t="shared" si="5"/>
        <v>49754.008581958406</v>
      </c>
      <c r="AA47" s="104"/>
    </row>
    <row r="48" spans="1:27" ht="12.75">
      <c r="A48" s="3">
        <v>11</v>
      </c>
      <c r="B48" s="12">
        <v>295.892857142857</v>
      </c>
      <c r="C48" s="53">
        <f t="shared" si="2"/>
        <v>227.8374999999999</v>
      </c>
      <c r="D48" s="23">
        <f t="shared" si="16"/>
        <v>8202.149999999996</v>
      </c>
      <c r="E48" s="56">
        <f t="shared" si="6"/>
        <v>377.29889999999983</v>
      </c>
      <c r="F48" s="23">
        <f t="shared" si="7"/>
        <v>7824.851099999996</v>
      </c>
      <c r="G48" s="95">
        <v>105515.642857143</v>
      </c>
      <c r="H48" s="82">
        <f t="shared" si="3"/>
        <v>81247.04500000011</v>
      </c>
      <c r="I48" s="34">
        <f t="shared" si="8"/>
        <v>345299.9412500005</v>
      </c>
      <c r="J48" s="59">
        <f t="shared" si="9"/>
        <v>0</v>
      </c>
      <c r="K48" s="66">
        <f t="shared" si="10"/>
        <v>345299.9412500005</v>
      </c>
      <c r="L48" s="13">
        <f t="shared" si="11"/>
        <v>353124.79235000047</v>
      </c>
      <c r="M48" s="16">
        <f t="shared" si="12"/>
        <v>33138.66376233613</v>
      </c>
      <c r="N48" s="16">
        <f t="shared" si="4"/>
        <v>0</v>
      </c>
      <c r="O48" s="13"/>
      <c r="P48" s="22">
        <f t="shared" si="13"/>
        <v>319986.12858766434</v>
      </c>
      <c r="Q48" s="3">
        <v>11</v>
      </c>
      <c r="R48" s="22">
        <f t="shared" si="14"/>
        <v>4551745.578274051</v>
      </c>
      <c r="S48" s="40">
        <v>0.3499</v>
      </c>
      <c r="T48" s="36">
        <f t="shared" si="15"/>
        <v>123738.63592484979</v>
      </c>
      <c r="U48" s="3">
        <v>11</v>
      </c>
      <c r="V48" s="22">
        <f t="shared" si="0"/>
        <v>2896678.3427197654</v>
      </c>
      <c r="W48" s="44">
        <v>0.0052</v>
      </c>
      <c r="X48" s="101">
        <f t="shared" si="1"/>
        <v>1663.9278686558546</v>
      </c>
      <c r="Y48" s="3">
        <v>11</v>
      </c>
      <c r="Z48" s="101">
        <f t="shared" si="5"/>
        <v>51417.93645061426</v>
      </c>
      <c r="AA48" s="104"/>
    </row>
    <row r="49" spans="1:27" ht="12.75">
      <c r="A49" s="3">
        <v>12</v>
      </c>
      <c r="B49" s="12">
        <v>319.869047619047</v>
      </c>
      <c r="C49" s="53">
        <f t="shared" si="2"/>
        <v>246.29916666666622</v>
      </c>
      <c r="D49" s="23">
        <f t="shared" si="16"/>
        <v>8866.769999999984</v>
      </c>
      <c r="E49" s="56">
        <f t="shared" si="6"/>
        <v>407.87141999999926</v>
      </c>
      <c r="F49" s="23">
        <f t="shared" si="7"/>
        <v>8458.898579999985</v>
      </c>
      <c r="G49" s="83">
        <v>94949.7857142857</v>
      </c>
      <c r="H49" s="82">
        <f t="shared" si="3"/>
        <v>73111.33499999999</v>
      </c>
      <c r="I49" s="34">
        <f t="shared" si="8"/>
        <v>310723.17374999996</v>
      </c>
      <c r="J49" s="59">
        <f t="shared" si="9"/>
        <v>0</v>
      </c>
      <c r="K49" s="66">
        <f t="shared" si="10"/>
        <v>310723.17374999996</v>
      </c>
      <c r="L49" s="13">
        <f t="shared" si="11"/>
        <v>319182.07232999994</v>
      </c>
      <c r="M49" s="16">
        <f t="shared" si="12"/>
        <v>33470.050399959495</v>
      </c>
      <c r="N49" s="16">
        <f t="shared" si="4"/>
        <v>0</v>
      </c>
      <c r="O49" s="13"/>
      <c r="P49" s="22">
        <f t="shared" si="13"/>
        <v>285712.02193004044</v>
      </c>
      <c r="Q49" s="3">
        <v>12</v>
      </c>
      <c r="R49" s="22">
        <f t="shared" si="14"/>
        <v>4837457.6002040915</v>
      </c>
      <c r="S49" s="40">
        <v>0.3166</v>
      </c>
      <c r="T49" s="36">
        <f t="shared" si="15"/>
        <v>99970.63647332115</v>
      </c>
      <c r="U49" s="3">
        <v>12</v>
      </c>
      <c r="V49" s="92">
        <f t="shared" si="0"/>
        <v>2996648.9791930867</v>
      </c>
      <c r="W49" s="44">
        <v>0.0032</v>
      </c>
      <c r="X49" s="101">
        <f t="shared" si="1"/>
        <v>914.2784701761294</v>
      </c>
      <c r="Y49" s="3">
        <v>12</v>
      </c>
      <c r="Z49" s="101">
        <f t="shared" si="5"/>
        <v>52332.214920790386</v>
      </c>
      <c r="AA49" s="104"/>
    </row>
    <row r="50" spans="1:27" ht="12.75">
      <c r="A50" s="3">
        <v>13</v>
      </c>
      <c r="B50" s="12">
        <v>343.845238095238</v>
      </c>
      <c r="C50" s="53">
        <f t="shared" si="2"/>
        <v>264.76083333333327</v>
      </c>
      <c r="D50" s="23">
        <f t="shared" si="16"/>
        <v>9531.389999999998</v>
      </c>
      <c r="E50" s="56">
        <f t="shared" si="6"/>
        <v>438.4439399999999</v>
      </c>
      <c r="F50" s="23">
        <f aca="true" t="shared" si="17" ref="F50:F57">D50-E50</f>
        <v>9092.946059999998</v>
      </c>
      <c r="G50" s="83">
        <v>84383.9285714281</v>
      </c>
      <c r="H50" s="82">
        <f aca="true" t="shared" si="18" ref="H50:H57">G50*B$25</f>
        <v>64975.624999999636</v>
      </c>
      <c r="I50" s="34">
        <f t="shared" si="8"/>
        <v>276146.4062499984</v>
      </c>
      <c r="J50" s="59">
        <f t="shared" si="9"/>
        <v>0</v>
      </c>
      <c r="K50" s="66">
        <f t="shared" si="10"/>
        <v>276146.4062499984</v>
      </c>
      <c r="L50" s="13">
        <f t="shared" si="11"/>
        <v>285239.3523099984</v>
      </c>
      <c r="M50" s="16">
        <f aca="true" t="shared" si="19" ref="M50:M57">M49*B$15+M49</f>
        <v>33804.75090395909</v>
      </c>
      <c r="N50" s="16">
        <f aca="true" t="shared" si="20" ref="N50:N57">M50*B$18</f>
        <v>0</v>
      </c>
      <c r="O50" s="13"/>
      <c r="P50" s="22">
        <f aca="true" t="shared" si="21" ref="P50:P57">L50-M50-N50-O50</f>
        <v>251434.60140603932</v>
      </c>
      <c r="Q50" s="3">
        <v>13</v>
      </c>
      <c r="R50" s="22">
        <f aca="true" t="shared" si="22" ref="R50:R57">P50+R49</f>
        <v>5088892.201610131</v>
      </c>
      <c r="S50" s="40">
        <v>0.2865</v>
      </c>
      <c r="T50" s="36">
        <f aca="true" t="shared" si="23" ref="T50:T57">P50*S49</f>
        <v>79604.19480515204</v>
      </c>
      <c r="U50" s="3">
        <v>13</v>
      </c>
      <c r="V50" s="92">
        <f t="shared" si="0"/>
        <v>3076253.173998239</v>
      </c>
      <c r="W50" s="44">
        <v>0.0019</v>
      </c>
      <c r="X50" s="101">
        <f t="shared" si="1"/>
        <v>477.72574267147473</v>
      </c>
      <c r="Y50" s="3">
        <v>13</v>
      </c>
      <c r="Z50" s="101">
        <f t="shared" si="5"/>
        <v>52809.94066346186</v>
      </c>
      <c r="AA50" s="104"/>
    </row>
    <row r="51" spans="1:27" ht="12.75">
      <c r="A51" s="3">
        <v>14</v>
      </c>
      <c r="B51" s="12">
        <v>367.821428571428</v>
      </c>
      <c r="C51" s="53">
        <f t="shared" si="2"/>
        <v>283.22249999999957</v>
      </c>
      <c r="D51" s="23">
        <f t="shared" si="16"/>
        <v>10196.009999999984</v>
      </c>
      <c r="E51" s="56">
        <f t="shared" si="6"/>
        <v>469.01645999999926</v>
      </c>
      <c r="F51" s="23">
        <f t="shared" si="17"/>
        <v>9726.993539999985</v>
      </c>
      <c r="G51" s="83">
        <v>73818.0714285711</v>
      </c>
      <c r="H51" s="82">
        <f t="shared" si="18"/>
        <v>56839.914999999746</v>
      </c>
      <c r="I51" s="34">
        <f t="shared" si="8"/>
        <v>241569.63874999894</v>
      </c>
      <c r="J51" s="59">
        <f t="shared" si="9"/>
        <v>0</v>
      </c>
      <c r="K51" s="66">
        <f t="shared" si="10"/>
        <v>241569.63874999894</v>
      </c>
      <c r="L51" s="13">
        <f t="shared" si="11"/>
        <v>251296.63228999893</v>
      </c>
      <c r="M51" s="16">
        <f t="shared" si="19"/>
        <v>34142.79841299868</v>
      </c>
      <c r="N51" s="16">
        <f t="shared" si="20"/>
        <v>0</v>
      </c>
      <c r="O51" s="13"/>
      <c r="P51" s="22">
        <f t="shared" si="21"/>
        <v>217153.83387700026</v>
      </c>
      <c r="Q51" s="3">
        <v>14</v>
      </c>
      <c r="R51" s="22">
        <f t="shared" si="22"/>
        <v>5306046.035487131</v>
      </c>
      <c r="S51" s="40">
        <v>0.2592</v>
      </c>
      <c r="T51" s="36">
        <f t="shared" si="23"/>
        <v>62214.573405760566</v>
      </c>
      <c r="U51" s="3">
        <v>14</v>
      </c>
      <c r="V51" s="92">
        <f t="shared" si="0"/>
        <v>3138467.7474039993</v>
      </c>
      <c r="W51" s="44">
        <v>0.0012</v>
      </c>
      <c r="X51" s="101">
        <f t="shared" si="1"/>
        <v>260.5846006524003</v>
      </c>
      <c r="Y51" s="3">
        <v>14</v>
      </c>
      <c r="Z51" s="101">
        <f t="shared" si="5"/>
        <v>53070.52526411426</v>
      </c>
      <c r="AA51" s="104"/>
    </row>
    <row r="52" spans="1:27" ht="12.75">
      <c r="A52" s="3">
        <v>15</v>
      </c>
      <c r="B52" s="12">
        <v>391.797619047619</v>
      </c>
      <c r="C52" s="53">
        <f t="shared" si="2"/>
        <v>301.6841666666666</v>
      </c>
      <c r="D52" s="23">
        <f t="shared" si="16"/>
        <v>10860.629999999997</v>
      </c>
      <c r="E52" s="56">
        <f t="shared" si="6"/>
        <v>499.5889799999999</v>
      </c>
      <c r="F52" s="23">
        <f t="shared" si="17"/>
        <v>10361.041019999997</v>
      </c>
      <c r="G52" s="83">
        <v>63252.2142857141</v>
      </c>
      <c r="H52" s="82">
        <f t="shared" si="18"/>
        <v>48704.204999999856</v>
      </c>
      <c r="I52" s="34">
        <f t="shared" si="8"/>
        <v>206992.87124999939</v>
      </c>
      <c r="J52" s="59">
        <f t="shared" si="9"/>
        <v>0</v>
      </c>
      <c r="K52" s="66">
        <f t="shared" si="10"/>
        <v>206992.87124999939</v>
      </c>
      <c r="L52" s="13">
        <f t="shared" si="11"/>
        <v>217353.9122699994</v>
      </c>
      <c r="M52" s="16">
        <f t="shared" si="19"/>
        <v>34484.22639712867</v>
      </c>
      <c r="N52" s="16">
        <f t="shared" si="20"/>
        <v>0</v>
      </c>
      <c r="O52" s="13"/>
      <c r="P52" s="22">
        <f t="shared" si="21"/>
        <v>182869.68587287073</v>
      </c>
      <c r="Q52" s="3">
        <v>15</v>
      </c>
      <c r="R52" s="22">
        <f t="shared" si="22"/>
        <v>5488915.721360002</v>
      </c>
      <c r="S52" s="40">
        <v>0.2346</v>
      </c>
      <c r="T52" s="36">
        <f t="shared" si="23"/>
        <v>47399.82257824809</v>
      </c>
      <c r="U52" s="3">
        <v>15</v>
      </c>
      <c r="V52" s="92">
        <f t="shared" si="0"/>
        <v>3185867.5699822474</v>
      </c>
      <c r="W52" s="44">
        <v>0.0007</v>
      </c>
      <c r="X52" s="101">
        <f t="shared" si="1"/>
        <v>128.00878011100951</v>
      </c>
      <c r="Y52" s="3">
        <v>15</v>
      </c>
      <c r="Z52" s="101">
        <f t="shared" si="5"/>
        <v>53198.53404422527</v>
      </c>
      <c r="AA52" s="104"/>
    </row>
    <row r="53" spans="1:27" ht="12.75">
      <c r="A53" s="3">
        <v>16</v>
      </c>
      <c r="B53" s="12">
        <v>415.773809523809</v>
      </c>
      <c r="C53" s="53">
        <f t="shared" si="2"/>
        <v>320.1458333333329</v>
      </c>
      <c r="D53" s="23">
        <f t="shared" si="16"/>
        <v>11525.249999999985</v>
      </c>
      <c r="E53" s="56">
        <f t="shared" si="6"/>
        <v>530.1614999999994</v>
      </c>
      <c r="F53" s="23">
        <f t="shared" si="17"/>
        <v>10995.088499999985</v>
      </c>
      <c r="G53" s="84">
        <v>52686.3571428571</v>
      </c>
      <c r="H53" s="82">
        <f t="shared" si="18"/>
        <v>40568.494999999966</v>
      </c>
      <c r="I53" s="34">
        <f t="shared" si="8"/>
        <v>172416.10374999986</v>
      </c>
      <c r="J53" s="59">
        <f t="shared" si="9"/>
        <v>0</v>
      </c>
      <c r="K53" s="66">
        <f t="shared" si="10"/>
        <v>172416.10374999986</v>
      </c>
      <c r="L53" s="13">
        <f t="shared" si="11"/>
        <v>183411.19224999985</v>
      </c>
      <c r="M53" s="16">
        <f t="shared" si="19"/>
        <v>34829.068661099955</v>
      </c>
      <c r="N53" s="16">
        <f t="shared" si="20"/>
        <v>0</v>
      </c>
      <c r="O53" s="13"/>
      <c r="P53" s="22">
        <f t="shared" si="21"/>
        <v>148582.1235888999</v>
      </c>
      <c r="Q53" s="3">
        <v>16</v>
      </c>
      <c r="R53" s="22">
        <f t="shared" si="22"/>
        <v>5637497.844948902</v>
      </c>
      <c r="S53" s="40">
        <v>0.2122</v>
      </c>
      <c r="T53" s="36">
        <f t="shared" si="23"/>
        <v>34857.36619395592</v>
      </c>
      <c r="U53" s="3">
        <v>16</v>
      </c>
      <c r="V53" s="92">
        <f t="shared" si="0"/>
        <v>3220724.936176203</v>
      </c>
      <c r="W53" s="44">
        <v>0.0004</v>
      </c>
      <c r="X53" s="101">
        <f t="shared" si="1"/>
        <v>59.432849435559966</v>
      </c>
      <c r="Y53" s="3">
        <v>16</v>
      </c>
      <c r="Z53" s="101">
        <f t="shared" si="5"/>
        <v>53257.96689366083</v>
      </c>
      <c r="AA53" s="104"/>
    </row>
    <row r="54" spans="1:27" ht="12.75">
      <c r="A54" s="3">
        <v>17</v>
      </c>
      <c r="B54" s="12">
        <v>439.75</v>
      </c>
      <c r="C54" s="53">
        <f t="shared" si="2"/>
        <v>338.6075</v>
      </c>
      <c r="D54" s="23">
        <f t="shared" si="16"/>
        <v>12189.87</v>
      </c>
      <c r="E54" s="56">
        <f t="shared" si="6"/>
        <v>560.73402</v>
      </c>
      <c r="F54" s="23">
        <f t="shared" si="17"/>
        <v>11629.135980000001</v>
      </c>
      <c r="G54" s="84">
        <v>42120.5000000001</v>
      </c>
      <c r="H54" s="82">
        <f t="shared" si="18"/>
        <v>32432.78500000008</v>
      </c>
      <c r="I54" s="34">
        <f t="shared" si="8"/>
        <v>137839.33625000034</v>
      </c>
      <c r="J54" s="59">
        <f t="shared" si="9"/>
        <v>0</v>
      </c>
      <c r="K54" s="66">
        <f t="shared" si="10"/>
        <v>137839.33625000034</v>
      </c>
      <c r="L54" s="13">
        <f t="shared" si="11"/>
        <v>149468.47223000033</v>
      </c>
      <c r="M54" s="16">
        <f t="shared" si="19"/>
        <v>35177.35934771095</v>
      </c>
      <c r="N54" s="16">
        <f t="shared" si="20"/>
        <v>0</v>
      </c>
      <c r="O54" s="13"/>
      <c r="P54" s="22">
        <f t="shared" si="21"/>
        <v>114291.11288228938</v>
      </c>
      <c r="Q54" s="3">
        <v>17</v>
      </c>
      <c r="R54" s="22">
        <f t="shared" si="22"/>
        <v>5751788.957831191</v>
      </c>
      <c r="S54" s="40">
        <v>0.192</v>
      </c>
      <c r="T54" s="36">
        <f t="shared" si="23"/>
        <v>24252.574153621805</v>
      </c>
      <c r="U54" s="3">
        <v>17</v>
      </c>
      <c r="V54" s="92">
        <f t="shared" si="0"/>
        <v>3244977.510329825</v>
      </c>
      <c r="W54" s="44">
        <v>0.0003</v>
      </c>
      <c r="X54" s="101">
        <f t="shared" si="1"/>
        <v>34.28733386468681</v>
      </c>
      <c r="Y54" s="3">
        <v>17</v>
      </c>
      <c r="Z54" s="101">
        <f t="shared" si="5"/>
        <v>53292.25422752552</v>
      </c>
      <c r="AA54" s="104"/>
    </row>
    <row r="55" spans="1:27" ht="12.75">
      <c r="A55" s="3">
        <v>18</v>
      </c>
      <c r="B55" s="12">
        <v>463.72619047619</v>
      </c>
      <c r="C55" s="53">
        <f t="shared" si="2"/>
        <v>357.0691666666663</v>
      </c>
      <c r="D55" s="23">
        <f t="shared" si="16"/>
        <v>12854.489999999987</v>
      </c>
      <c r="E55" s="56">
        <f t="shared" si="6"/>
        <v>591.3065399999994</v>
      </c>
      <c r="F55" s="23">
        <f t="shared" si="17"/>
        <v>12263.183459999987</v>
      </c>
      <c r="G55" s="84">
        <v>31554.642857143</v>
      </c>
      <c r="H55" s="82">
        <f t="shared" si="18"/>
        <v>24297.07500000011</v>
      </c>
      <c r="I55" s="34">
        <f t="shared" si="8"/>
        <v>103262.56875000047</v>
      </c>
      <c r="J55" s="59">
        <f t="shared" si="9"/>
        <v>0</v>
      </c>
      <c r="K55" s="66">
        <f t="shared" si="10"/>
        <v>103262.56875000047</v>
      </c>
      <c r="L55" s="13">
        <f t="shared" si="11"/>
        <v>115525.75221000046</v>
      </c>
      <c r="M55" s="16">
        <f t="shared" si="19"/>
        <v>35529.132941188065</v>
      </c>
      <c r="N55" s="16">
        <f t="shared" si="20"/>
        <v>0</v>
      </c>
      <c r="O55" s="13"/>
      <c r="P55" s="22">
        <f t="shared" si="21"/>
        <v>79996.61926881238</v>
      </c>
      <c r="Q55" s="3">
        <v>18</v>
      </c>
      <c r="R55" s="22">
        <f t="shared" si="22"/>
        <v>5831785.577100003</v>
      </c>
      <c r="S55" s="40">
        <v>0.1738</v>
      </c>
      <c r="T55" s="36">
        <f t="shared" si="23"/>
        <v>15359.350899611978</v>
      </c>
      <c r="U55" s="3">
        <v>18</v>
      </c>
      <c r="V55" s="92">
        <f t="shared" si="0"/>
        <v>3260336.861229437</v>
      </c>
      <c r="W55" s="44">
        <v>0.0002</v>
      </c>
      <c r="X55" s="101">
        <f t="shared" si="1"/>
        <v>15.999323853762478</v>
      </c>
      <c r="Y55" s="3">
        <v>18</v>
      </c>
      <c r="Z55" s="101">
        <f t="shared" si="5"/>
        <v>53308.25355137928</v>
      </c>
      <c r="AA55" s="104"/>
    </row>
    <row r="56" spans="1:27" ht="13.5" thickBot="1">
      <c r="A56" s="3">
        <v>19</v>
      </c>
      <c r="B56" s="12">
        <v>487.702380952381</v>
      </c>
      <c r="C56" s="53">
        <f t="shared" si="2"/>
        <v>375.5308333333334</v>
      </c>
      <c r="D56" s="23">
        <f t="shared" si="16"/>
        <v>13519.110000000002</v>
      </c>
      <c r="E56" s="56">
        <f t="shared" si="6"/>
        <v>621.8790600000001</v>
      </c>
      <c r="F56" s="23">
        <f t="shared" si="17"/>
        <v>12897.230940000003</v>
      </c>
      <c r="G56" s="95">
        <v>20988.7857142861</v>
      </c>
      <c r="H56" s="82">
        <f t="shared" si="18"/>
        <v>16161.365000000296</v>
      </c>
      <c r="I56" s="34">
        <f t="shared" si="8"/>
        <v>68685.80125000126</v>
      </c>
      <c r="J56" s="59">
        <f t="shared" si="9"/>
        <v>0</v>
      </c>
      <c r="K56" s="66">
        <f t="shared" si="10"/>
        <v>68685.80125000126</v>
      </c>
      <c r="L56" s="13">
        <f t="shared" si="11"/>
        <v>81583.03219000126</v>
      </c>
      <c r="M56" s="16">
        <f t="shared" si="19"/>
        <v>35884.42427059994</v>
      </c>
      <c r="N56" s="16">
        <f t="shared" si="20"/>
        <v>0</v>
      </c>
      <c r="O56" s="13"/>
      <c r="P56" s="22">
        <f t="shared" si="21"/>
        <v>45698.60791940132</v>
      </c>
      <c r="Q56" s="3">
        <v>19</v>
      </c>
      <c r="R56" s="22">
        <f t="shared" si="22"/>
        <v>5877484.185019405</v>
      </c>
      <c r="S56" s="40">
        <v>0.1572</v>
      </c>
      <c r="T56" s="36">
        <f t="shared" si="23"/>
        <v>7942.41805639195</v>
      </c>
      <c r="U56" s="3">
        <v>19</v>
      </c>
      <c r="V56" s="92">
        <f t="shared" si="0"/>
        <v>3268279.279285829</v>
      </c>
      <c r="W56" s="44">
        <v>0.0001</v>
      </c>
      <c r="X56" s="101">
        <f t="shared" si="1"/>
        <v>4.569860791940132</v>
      </c>
      <c r="Y56" s="3">
        <v>19</v>
      </c>
      <c r="Z56" s="101">
        <f t="shared" si="5"/>
        <v>53312.82341217122</v>
      </c>
      <c r="AA56" s="104"/>
    </row>
    <row r="57" spans="1:27" ht="13.5" thickBot="1">
      <c r="A57" s="3">
        <v>20</v>
      </c>
      <c r="B57" s="111">
        <v>511.678571428571</v>
      </c>
      <c r="C57" s="53">
        <f t="shared" si="2"/>
        <v>393.99249999999967</v>
      </c>
      <c r="D57" s="23">
        <f t="shared" si="16"/>
        <v>14183.729999999989</v>
      </c>
      <c r="E57" s="56">
        <f t="shared" si="6"/>
        <v>652.4515799999995</v>
      </c>
      <c r="F57" s="23">
        <f t="shared" si="17"/>
        <v>13531.27841999999</v>
      </c>
      <c r="G57" s="110">
        <v>10422.9285714281</v>
      </c>
      <c r="H57" s="82">
        <f t="shared" si="18"/>
        <v>8025.654999999637</v>
      </c>
      <c r="I57" s="34">
        <f t="shared" si="8"/>
        <v>34109.03374999846</v>
      </c>
      <c r="J57" s="59">
        <f t="shared" si="9"/>
        <v>0</v>
      </c>
      <c r="K57" s="66">
        <f t="shared" si="10"/>
        <v>34109.03374999846</v>
      </c>
      <c r="L57" s="13">
        <f t="shared" si="11"/>
        <v>47640.31216999845</v>
      </c>
      <c r="M57" s="16">
        <f t="shared" si="19"/>
        <v>36243.26851330594</v>
      </c>
      <c r="N57" s="16">
        <f t="shared" si="20"/>
        <v>0</v>
      </c>
      <c r="O57" s="13"/>
      <c r="P57" s="22">
        <f t="shared" si="21"/>
        <v>11397.043656692505</v>
      </c>
      <c r="Q57" s="3">
        <v>20</v>
      </c>
      <c r="R57" s="51">
        <f t="shared" si="22"/>
        <v>5888881.2286760975</v>
      </c>
      <c r="S57" s="40">
        <v>0.1423</v>
      </c>
      <c r="T57" s="36">
        <f t="shared" si="23"/>
        <v>1791.615262832062</v>
      </c>
      <c r="U57" s="3">
        <v>20</v>
      </c>
      <c r="V57" s="51">
        <f t="shared" si="0"/>
        <v>3270070.894548661</v>
      </c>
      <c r="W57" s="44">
        <v>0.0001</v>
      </c>
      <c r="X57" s="101">
        <f t="shared" si="1"/>
        <v>1.1397043656692507</v>
      </c>
      <c r="Y57" s="3">
        <v>20</v>
      </c>
      <c r="Z57" s="103">
        <f t="shared" si="5"/>
        <v>53313.96311653689</v>
      </c>
      <c r="AA57" s="122"/>
    </row>
    <row r="58" spans="3:10" ht="13.5" thickBot="1">
      <c r="C58" s="54"/>
      <c r="E58" s="57"/>
      <c r="G58" s="29"/>
      <c r="H58" s="55"/>
      <c r="J58" s="60"/>
    </row>
    <row r="59" spans="1:26" s="25" customFormat="1" ht="14.25" thickBot="1">
      <c r="A59" s="78" t="s">
        <v>27</v>
      </c>
      <c r="B59" s="26">
        <f>SUM(B36:B57)</f>
        <v>5821.8571428571395</v>
      </c>
      <c r="C59" s="26">
        <f>SUM(C36:C57)</f>
        <v>4482.829999999997</v>
      </c>
      <c r="D59" s="25">
        <f>SUM(D36:D57)</f>
        <v>161381.87999999992</v>
      </c>
      <c r="E59" s="58">
        <f aca="true" t="shared" si="24" ref="E59:N59">SUM(E38:E57)</f>
        <v>7423.566479999998</v>
      </c>
      <c r="F59" s="42">
        <f t="shared" si="24"/>
        <v>153958.31351999994</v>
      </c>
      <c r="G59" s="71">
        <f t="shared" si="24"/>
        <v>2550188.8571428563</v>
      </c>
      <c r="H59" s="85">
        <f t="shared" si="24"/>
        <v>1963645.4199999992</v>
      </c>
      <c r="I59" s="41">
        <f t="shared" si="24"/>
        <v>8345493.034999997</v>
      </c>
      <c r="J59" s="61">
        <f t="shared" si="24"/>
        <v>0</v>
      </c>
      <c r="K59" s="42">
        <f t="shared" si="24"/>
        <v>8345493.034999997</v>
      </c>
      <c r="L59" s="42">
        <f t="shared" si="24"/>
        <v>8499451.348519996</v>
      </c>
      <c r="M59" s="42">
        <f t="shared" si="24"/>
        <v>660570.1198439004</v>
      </c>
      <c r="N59" s="42">
        <f t="shared" si="24"/>
        <v>0</v>
      </c>
      <c r="O59" s="76">
        <f>SUM(O36:O57)</f>
        <v>1950000</v>
      </c>
      <c r="P59" s="76">
        <f>SUM(P36:P57)</f>
        <v>5888881.2286760975</v>
      </c>
      <c r="Q59" s="24"/>
      <c r="S59" s="38" t="s">
        <v>55</v>
      </c>
      <c r="T59" s="24"/>
      <c r="U59" s="24"/>
      <c r="V59" s="35"/>
      <c r="W59" s="38" t="s">
        <v>76</v>
      </c>
      <c r="X59" s="78"/>
      <c r="Y59" s="78"/>
      <c r="Z59" s="78"/>
    </row>
    <row r="60" ht="12.75">
      <c r="O60" s="79"/>
    </row>
    <row r="61" spans="2:19" ht="12.75">
      <c r="B61" s="70" t="s">
        <v>54</v>
      </c>
      <c r="C61" s="67">
        <f>C59*6+H59</f>
        <v>1990542.3999999992</v>
      </c>
      <c r="D61" s="106" t="s">
        <v>53</v>
      </c>
      <c r="E61" s="105">
        <f>O59</f>
        <v>1950000</v>
      </c>
      <c r="F61" s="68" t="s">
        <v>72</v>
      </c>
      <c r="I61" s="89">
        <f>E61/C61</f>
        <v>0.9796324861002713</v>
      </c>
      <c r="J61" s="69" t="s">
        <v>57</v>
      </c>
      <c r="S61" s="123" t="s">
        <v>78</v>
      </c>
    </row>
    <row r="63" spans="3:4" ht="12.75">
      <c r="C63" s="70" t="s">
        <v>61</v>
      </c>
      <c r="D63" s="120">
        <f>V57/O59</f>
        <v>1.6769594331018776</v>
      </c>
    </row>
  </sheetData>
  <printOptions/>
  <pageMargins left="0.08" right="0.14" top="0.25" bottom="0.25" header="0.5" footer="0.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1" sqref="B1:B20"/>
    </sheetView>
  </sheetViews>
  <sheetFormatPr defaultColWidth="9.140625" defaultRowHeight="12.75"/>
  <cols>
    <col min="1" max="1" width="10.28125" style="81" bestFit="1" customWidth="1"/>
    <col min="2" max="2" width="11.28125" style="81" bestFit="1" customWidth="1"/>
    <col min="3" max="3" width="3.28125" style="81" customWidth="1"/>
    <col min="4" max="4" width="10.28125" style="9" bestFit="1" customWidth="1"/>
    <col min="5" max="5" width="10.28125" style="81" bestFit="1" customWidth="1"/>
    <col min="6" max="6" width="10.140625" style="81" customWidth="1"/>
    <col min="7" max="9" width="9.140625" style="81" customWidth="1"/>
    <col min="10" max="10" width="29.421875" style="98" customWidth="1"/>
    <col min="11" max="11" width="22.00390625" style="98" customWidth="1"/>
    <col min="12" max="12" width="20.28125" style="98" customWidth="1"/>
    <col min="13" max="16384" width="9.140625" style="81" customWidth="1"/>
  </cols>
  <sheetData>
    <row r="1" spans="1:14" ht="12.75">
      <c r="A1" s="95">
        <v>486000</v>
      </c>
      <c r="B1" s="12">
        <v>150</v>
      </c>
      <c r="C1" s="12"/>
      <c r="D1" s="115">
        <v>486000</v>
      </c>
      <c r="E1" s="116">
        <v>150</v>
      </c>
      <c r="F1" s="83">
        <v>310000</v>
      </c>
      <c r="G1" s="12">
        <v>150</v>
      </c>
      <c r="J1" s="98" t="s">
        <v>63</v>
      </c>
      <c r="K1" s="98" t="s">
        <v>64</v>
      </c>
      <c r="L1" s="98" t="s">
        <v>65</v>
      </c>
      <c r="M1" s="81" t="s">
        <v>66</v>
      </c>
      <c r="N1" s="81" t="s">
        <v>67</v>
      </c>
    </row>
    <row r="2" spans="1:14" ht="12.75">
      <c r="A2" s="96">
        <v>260000</v>
      </c>
      <c r="B2" s="12">
        <v>130</v>
      </c>
      <c r="C2" s="12"/>
      <c r="D2" s="117">
        <v>260000</v>
      </c>
      <c r="E2" s="118">
        <v>130</v>
      </c>
      <c r="F2" s="83">
        <v>200000</v>
      </c>
      <c r="G2" s="12">
        <v>130</v>
      </c>
      <c r="I2" s="3">
        <v>0</v>
      </c>
      <c r="J2" s="98">
        <v>-210000</v>
      </c>
      <c r="K2" s="98">
        <v>-210000</v>
      </c>
      <c r="L2" s="98">
        <v>-210000</v>
      </c>
      <c r="M2" s="81">
        <f>K2-L2</f>
        <v>0</v>
      </c>
      <c r="N2" s="81">
        <f>K2-J2</f>
        <v>0</v>
      </c>
    </row>
    <row r="3" spans="1:14" ht="12.75">
      <c r="A3" s="95">
        <v>192465</v>
      </c>
      <c r="B3" s="12">
        <v>76</v>
      </c>
      <c r="C3" s="12"/>
      <c r="D3" s="95">
        <v>192465</v>
      </c>
      <c r="E3" s="12">
        <v>76</v>
      </c>
      <c r="F3" s="83">
        <v>192465</v>
      </c>
      <c r="G3" s="12">
        <v>76</v>
      </c>
      <c r="I3" s="3">
        <v>0.5</v>
      </c>
      <c r="J3" s="98">
        <v>-2040000</v>
      </c>
      <c r="K3" s="98">
        <v>-2040000</v>
      </c>
      <c r="L3" s="98">
        <v>-2040000</v>
      </c>
      <c r="M3" s="81">
        <f aca="true" t="shared" si="0" ref="M3:M23">K3-L3</f>
        <v>0</v>
      </c>
      <c r="N3" s="81">
        <f aca="true" t="shared" si="1" ref="N3:N23">K3-J3</f>
        <v>0</v>
      </c>
    </row>
    <row r="4" spans="1:14" ht="12.75">
      <c r="A4" s="83">
        <v>176784</v>
      </c>
      <c r="B4" s="12">
        <v>125</v>
      </c>
      <c r="C4" s="12"/>
      <c r="F4" s="83">
        <v>176784</v>
      </c>
      <c r="G4" s="12">
        <v>125</v>
      </c>
      <c r="I4" s="3">
        <v>1</v>
      </c>
      <c r="J4" s="98">
        <v>1088476.285819875</v>
      </c>
      <c r="K4" s="98">
        <v>1116048.9846630003</v>
      </c>
      <c r="L4" s="98">
        <v>708575.8786230001</v>
      </c>
      <c r="M4" s="81">
        <f t="shared" si="0"/>
        <v>407473.1060400002</v>
      </c>
      <c r="N4" s="81">
        <f t="shared" si="1"/>
        <v>27572.698843125254</v>
      </c>
    </row>
    <row r="5" spans="1:14" ht="12.75">
      <c r="A5" s="83">
        <v>176498</v>
      </c>
      <c r="B5" s="12">
        <v>107</v>
      </c>
      <c r="C5" s="12"/>
      <c r="F5" s="83">
        <v>176498</v>
      </c>
      <c r="G5" s="12">
        <v>107</v>
      </c>
      <c r="I5" s="3">
        <v>2</v>
      </c>
      <c r="J5" s="98">
        <v>578081.49798333</v>
      </c>
      <c r="K5" s="98">
        <v>592725.14916648</v>
      </c>
      <c r="L5" s="98">
        <v>453813.86301648</v>
      </c>
      <c r="M5" s="81">
        <f t="shared" si="0"/>
        <v>138911.28615000006</v>
      </c>
      <c r="N5" s="81">
        <f t="shared" si="1"/>
        <v>14643.65118315001</v>
      </c>
    </row>
    <row r="6" spans="1:14" ht="12.75">
      <c r="A6" s="83">
        <v>147285</v>
      </c>
      <c r="B6" s="12">
        <v>326</v>
      </c>
      <c r="C6" s="12"/>
      <c r="F6" s="83">
        <v>147285</v>
      </c>
      <c r="G6" s="12">
        <v>326</v>
      </c>
      <c r="I6" s="3">
        <v>3</v>
      </c>
      <c r="J6" s="98">
        <v>366239.4148936206</v>
      </c>
      <c r="K6" s="98">
        <v>394768.0205371813</v>
      </c>
      <c r="L6" s="98">
        <v>394768.0205371813</v>
      </c>
      <c r="M6" s="81">
        <f t="shared" si="0"/>
        <v>0</v>
      </c>
      <c r="N6" s="81">
        <f t="shared" si="1"/>
        <v>28528.605643560702</v>
      </c>
    </row>
    <row r="7" spans="1:14" ht="12.75">
      <c r="A7" s="83">
        <v>158596</v>
      </c>
      <c r="B7" s="12">
        <v>149</v>
      </c>
      <c r="C7" s="12"/>
      <c r="F7" s="83">
        <v>158596</v>
      </c>
      <c r="G7" s="12">
        <v>149</v>
      </c>
      <c r="I7" s="3">
        <v>4</v>
      </c>
      <c r="J7" s="98">
        <v>288937.00263814285</v>
      </c>
      <c r="K7" s="98">
        <v>327403.081121178</v>
      </c>
      <c r="L7" s="98">
        <v>327403.081121178</v>
      </c>
      <c r="M7" s="81">
        <f t="shared" si="0"/>
        <v>0</v>
      </c>
      <c r="N7" s="81">
        <f t="shared" si="1"/>
        <v>38466.07848303515</v>
      </c>
    </row>
    <row r="8" spans="1:14" ht="12.75">
      <c r="A8" s="84">
        <v>136148</v>
      </c>
      <c r="B8" s="12">
        <v>255</v>
      </c>
      <c r="C8" s="12"/>
      <c r="F8" s="84">
        <v>136148</v>
      </c>
      <c r="G8" s="12">
        <v>255</v>
      </c>
      <c r="I8" s="3">
        <v>5</v>
      </c>
      <c r="J8" s="98">
        <v>248234.92659703488</v>
      </c>
      <c r="K8" s="98">
        <v>295691.6037405857</v>
      </c>
      <c r="L8" s="98">
        <v>295691.6037405857</v>
      </c>
      <c r="M8" s="81">
        <f t="shared" si="0"/>
        <v>0</v>
      </c>
      <c r="N8" s="81">
        <f t="shared" si="1"/>
        <v>47456.6771435508</v>
      </c>
    </row>
    <row r="9" spans="1:14" ht="12.75">
      <c r="A9" s="84">
        <v>101829</v>
      </c>
      <c r="B9" s="12">
        <v>179</v>
      </c>
      <c r="C9" s="12"/>
      <c r="F9" s="84">
        <v>101829</v>
      </c>
      <c r="G9" s="12">
        <v>179</v>
      </c>
      <c r="I9" s="3">
        <v>6</v>
      </c>
      <c r="J9" s="98">
        <v>177403.2032927316</v>
      </c>
      <c r="K9" s="98">
        <v>222137.23962970477</v>
      </c>
      <c r="L9" s="98">
        <v>222137.23962970477</v>
      </c>
      <c r="M9" s="81">
        <f t="shared" si="0"/>
        <v>0</v>
      </c>
      <c r="N9" s="81">
        <f t="shared" si="1"/>
        <v>44734.036336973164</v>
      </c>
    </row>
    <row r="10" spans="1:14" ht="12.75">
      <c r="A10" s="84">
        <v>134891</v>
      </c>
      <c r="B10" s="12">
        <v>287</v>
      </c>
      <c r="C10" s="12"/>
      <c r="F10" s="84">
        <v>134891</v>
      </c>
      <c r="G10" s="12">
        <v>287</v>
      </c>
      <c r="I10" s="3">
        <v>7</v>
      </c>
      <c r="J10" s="98">
        <v>164686.7778136864</v>
      </c>
      <c r="K10" s="98">
        <v>216813.78850003582</v>
      </c>
      <c r="L10" s="98">
        <v>216813.78850003582</v>
      </c>
      <c r="M10" s="81">
        <f t="shared" si="0"/>
        <v>0</v>
      </c>
      <c r="N10" s="81">
        <f t="shared" si="1"/>
        <v>52127.010686349415</v>
      </c>
    </row>
    <row r="11" spans="1:14" ht="12.75">
      <c r="A11" s="95">
        <v>105515.642857143</v>
      </c>
      <c r="B11" s="12">
        <v>295.892857142857</v>
      </c>
      <c r="C11" s="12"/>
      <c r="F11" s="84">
        <v>115332</v>
      </c>
      <c r="G11" s="12">
        <v>667</v>
      </c>
      <c r="I11" s="3">
        <v>8</v>
      </c>
      <c r="J11" s="98">
        <v>121113.64798209665</v>
      </c>
      <c r="K11" s="98">
        <v>167606.90415337874</v>
      </c>
      <c r="L11" s="98">
        <v>167606.90415337874</v>
      </c>
      <c r="M11" s="81">
        <f t="shared" si="0"/>
        <v>0</v>
      </c>
      <c r="N11" s="81">
        <f t="shared" si="1"/>
        <v>46493.25617128209</v>
      </c>
    </row>
    <row r="12" spans="1:14" ht="12.75">
      <c r="A12" s="83">
        <v>94949.7857142857</v>
      </c>
      <c r="B12" s="12">
        <v>319.869047619047</v>
      </c>
      <c r="C12" s="12"/>
      <c r="F12" s="91">
        <v>145473</v>
      </c>
      <c r="G12" s="12">
        <v>176</v>
      </c>
      <c r="I12" s="3">
        <v>9</v>
      </c>
      <c r="J12" s="98">
        <v>77100.60650977536</v>
      </c>
      <c r="K12" s="98">
        <v>112172.24057658725</v>
      </c>
      <c r="L12" s="98">
        <v>112172.24057658725</v>
      </c>
      <c r="M12" s="81">
        <f t="shared" si="0"/>
        <v>0</v>
      </c>
      <c r="N12" s="81">
        <f t="shared" si="1"/>
        <v>35071.634066811894</v>
      </c>
    </row>
    <row r="13" spans="1:14" ht="12.75">
      <c r="A13" s="83">
        <v>84383.9285714281</v>
      </c>
      <c r="B13" s="12">
        <v>343.845238095238</v>
      </c>
      <c r="C13" s="12"/>
      <c r="E13" s="119"/>
      <c r="F13" s="91">
        <v>100000</v>
      </c>
      <c r="G13" s="12">
        <v>370</v>
      </c>
      <c r="I13" s="3">
        <v>10</v>
      </c>
      <c r="J13" s="98">
        <v>88798.80422140838</v>
      </c>
      <c r="K13" s="98">
        <v>135836.1092492124</v>
      </c>
      <c r="L13" s="98">
        <v>135836.1092492124</v>
      </c>
      <c r="M13" s="81">
        <f t="shared" si="0"/>
        <v>0</v>
      </c>
      <c r="N13" s="81">
        <f t="shared" si="1"/>
        <v>47037.30502780402</v>
      </c>
    </row>
    <row r="14" spans="1:14" ht="12.75">
      <c r="A14" s="83">
        <v>73818.0714285711</v>
      </c>
      <c r="B14" s="12">
        <v>367.821428571428</v>
      </c>
      <c r="C14" s="12"/>
      <c r="F14" s="91">
        <v>105000</v>
      </c>
      <c r="G14" s="12">
        <v>400</v>
      </c>
      <c r="I14" s="3">
        <v>11</v>
      </c>
      <c r="J14" s="98">
        <v>64961.14009442555</v>
      </c>
      <c r="K14" s="98">
        <v>104451.03066326138</v>
      </c>
      <c r="L14" s="98">
        <v>104451.03066326138</v>
      </c>
      <c r="M14" s="81">
        <f t="shared" si="0"/>
        <v>0</v>
      </c>
      <c r="N14" s="81">
        <f t="shared" si="1"/>
        <v>39489.89056883583</v>
      </c>
    </row>
    <row r="15" spans="1:14" ht="12.75">
      <c r="A15" s="83">
        <v>63252.2142857141</v>
      </c>
      <c r="B15" s="12">
        <v>391.797619047619</v>
      </c>
      <c r="C15" s="12"/>
      <c r="F15" s="91">
        <v>100500</v>
      </c>
      <c r="G15" s="12">
        <v>440</v>
      </c>
      <c r="I15" s="3">
        <v>12</v>
      </c>
      <c r="J15" s="98">
        <v>71076.5123985772</v>
      </c>
      <c r="K15" s="98">
        <v>120143.34148918919</v>
      </c>
      <c r="L15" s="98">
        <v>120143.34148918919</v>
      </c>
      <c r="M15" s="81">
        <f t="shared" si="0"/>
        <v>0</v>
      </c>
      <c r="N15" s="81">
        <f t="shared" si="1"/>
        <v>49066.829090611995</v>
      </c>
    </row>
    <row r="16" spans="1:14" ht="12.75">
      <c r="A16" s="84">
        <v>52686.3571428571</v>
      </c>
      <c r="B16" s="12">
        <v>415.773809523809</v>
      </c>
      <c r="C16" s="12"/>
      <c r="F16" s="91">
        <v>100000</v>
      </c>
      <c r="G16" s="12">
        <v>490</v>
      </c>
      <c r="I16" s="3">
        <v>13</v>
      </c>
      <c r="J16" s="98">
        <v>46650.18464624108</v>
      </c>
      <c r="K16" s="98">
        <v>82881.30448372575</v>
      </c>
      <c r="L16" s="98">
        <v>82881.30448372575</v>
      </c>
      <c r="M16" s="81">
        <f t="shared" si="0"/>
        <v>0</v>
      </c>
      <c r="N16" s="81">
        <f t="shared" si="1"/>
        <v>36231.119837484664</v>
      </c>
    </row>
    <row r="17" spans="1:14" ht="12.75">
      <c r="A17" s="84">
        <v>42120.5000000001</v>
      </c>
      <c r="B17" s="12">
        <v>439.75</v>
      </c>
      <c r="C17" s="12"/>
      <c r="F17" s="91">
        <v>98000</v>
      </c>
      <c r="G17" s="12">
        <v>530</v>
      </c>
      <c r="I17" s="3">
        <v>14</v>
      </c>
      <c r="J17" s="98">
        <v>37527.71503320887</v>
      </c>
      <c r="K17" s="98">
        <v>70089.24613438292</v>
      </c>
      <c r="L17" s="98">
        <v>70089.24613438292</v>
      </c>
      <c r="M17" s="81">
        <f t="shared" si="0"/>
        <v>0</v>
      </c>
      <c r="N17" s="81">
        <f t="shared" si="1"/>
        <v>32561.53110117405</v>
      </c>
    </row>
    <row r="18" spans="1:14" ht="12.75">
      <c r="A18" s="84">
        <v>31554.642857143</v>
      </c>
      <c r="B18" s="12">
        <v>463.72619047619</v>
      </c>
      <c r="C18" s="12"/>
      <c r="F18" s="91">
        <v>95000</v>
      </c>
      <c r="G18" s="12">
        <v>600</v>
      </c>
      <c r="I18" s="3">
        <v>15</v>
      </c>
      <c r="J18" s="98">
        <v>30832.22859686298</v>
      </c>
      <c r="K18" s="98">
        <v>60543.285244749124</v>
      </c>
      <c r="L18" s="98">
        <v>60543.285244749124</v>
      </c>
      <c r="M18" s="81">
        <f t="shared" si="0"/>
        <v>0</v>
      </c>
      <c r="N18" s="81">
        <f t="shared" si="1"/>
        <v>29711.056647886144</v>
      </c>
    </row>
    <row r="19" spans="1:14" ht="12.75">
      <c r="A19" s="95">
        <v>20988.7857142861</v>
      </c>
      <c r="B19" s="12">
        <v>487.702380952381</v>
      </c>
      <c r="C19" s="12"/>
      <c r="F19" s="91">
        <v>91500</v>
      </c>
      <c r="G19" s="12">
        <v>670</v>
      </c>
      <c r="I19" s="3">
        <v>16</v>
      </c>
      <c r="J19" s="98">
        <v>26383.6165854013</v>
      </c>
      <c r="K19" s="98">
        <v>54485.88425118965</v>
      </c>
      <c r="L19" s="98">
        <v>54485.88425118965</v>
      </c>
      <c r="M19" s="81">
        <f t="shared" si="0"/>
        <v>0</v>
      </c>
      <c r="N19" s="81">
        <f t="shared" si="1"/>
        <v>28102.26766578835</v>
      </c>
    </row>
    <row r="20" spans="1:14" ht="12.75">
      <c r="A20" s="110">
        <v>10422.9285714281</v>
      </c>
      <c r="B20" s="111">
        <v>511.678571428571</v>
      </c>
      <c r="C20" s="12"/>
      <c r="F20" s="112">
        <v>88000</v>
      </c>
      <c r="G20" s="111">
        <v>750</v>
      </c>
      <c r="I20" s="3">
        <v>17</v>
      </c>
      <c r="J20" s="98">
        <v>22227.07940704022</v>
      </c>
      <c r="K20" s="98">
        <v>48226.85327376211</v>
      </c>
      <c r="L20" s="98">
        <v>48226.85327376211</v>
      </c>
      <c r="M20" s="81">
        <f t="shared" si="0"/>
        <v>0</v>
      </c>
      <c r="N20" s="81">
        <f t="shared" si="1"/>
        <v>25999.773866721895</v>
      </c>
    </row>
    <row r="21" spans="1:14" s="9" customFormat="1" ht="12.75">
      <c r="A21" s="107">
        <f>SUM(A1:A20)</f>
        <v>2550188.8571428563</v>
      </c>
      <c r="B21" s="108">
        <f>SUM(B1:B20)</f>
        <v>5821.8571428571395</v>
      </c>
      <c r="C21" s="108"/>
      <c r="D21" s="93"/>
      <c r="E21" s="94"/>
      <c r="F21" s="114">
        <f>SUM(F1:F20)</f>
        <v>2773301</v>
      </c>
      <c r="G21" s="113">
        <f>SUM(G1:G20)</f>
        <v>6877</v>
      </c>
      <c r="I21" s="3">
        <v>18</v>
      </c>
      <c r="J21" s="109">
        <v>18511.89834671183</v>
      </c>
      <c r="K21" s="109">
        <v>42212.40478110061</v>
      </c>
      <c r="L21" s="109">
        <v>42212.40478110061</v>
      </c>
      <c r="M21" s="9">
        <f t="shared" si="0"/>
        <v>0</v>
      </c>
      <c r="N21" s="9">
        <f t="shared" si="1"/>
        <v>23700.50643438878</v>
      </c>
    </row>
    <row r="22" spans="9:14" ht="12.75">
      <c r="I22" s="3">
        <v>19</v>
      </c>
      <c r="J22" s="98">
        <v>15292.595200839589</v>
      </c>
      <c r="K22" s="98">
        <v>36710.677429639785</v>
      </c>
      <c r="L22" s="98">
        <v>36710.677429639785</v>
      </c>
      <c r="M22" s="81">
        <f t="shared" si="0"/>
        <v>0</v>
      </c>
      <c r="N22" s="81">
        <f t="shared" si="1"/>
        <v>21418.082228800195</v>
      </c>
    </row>
    <row r="23" spans="9:14" ht="13.5" thickBot="1">
      <c r="I23" s="3">
        <v>20</v>
      </c>
      <c r="J23" s="98">
        <v>12621.355086838623</v>
      </c>
      <c r="K23" s="98">
        <v>31847.143172568725</v>
      </c>
      <c r="L23" s="98">
        <v>31847.143172568725</v>
      </c>
      <c r="M23" s="97">
        <f t="shared" si="0"/>
        <v>0</v>
      </c>
      <c r="N23" s="81">
        <f t="shared" si="1"/>
        <v>19225.788085730102</v>
      </c>
    </row>
    <row r="24" spans="10:14" ht="13.5" thickTop="1">
      <c r="J24" s="81">
        <f>SUM(J2:J23)</f>
        <v>1295156.4931478493</v>
      </c>
      <c r="K24" s="81">
        <f>SUM(K2:K23)</f>
        <v>1982794.2922609134</v>
      </c>
      <c r="L24" s="81">
        <f>SUM(L2:L23)</f>
        <v>1436409.9000709131</v>
      </c>
      <c r="M24" s="81">
        <f>SUM(M2:M23)</f>
        <v>546384.3921900003</v>
      </c>
      <c r="N24" s="81">
        <f>SUM(N2:N23)</f>
        <v>687637.7991130644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24" sqref="G24"/>
    </sheetView>
  </sheetViews>
  <sheetFormatPr defaultColWidth="9.140625" defaultRowHeight="12.75"/>
  <cols>
    <col min="1" max="16384" width="9.140625" style="44" customWidth="1"/>
  </cols>
  <sheetData>
    <row r="1" spans="1:11" ht="11.25">
      <c r="A1" s="40">
        <v>0.9512</v>
      </c>
      <c r="B1" s="44">
        <v>0.9277</v>
      </c>
      <c r="C1" s="44">
        <v>0.9048</v>
      </c>
      <c r="D1" s="44">
        <v>0.8607</v>
      </c>
      <c r="E1" s="44">
        <v>0.8187</v>
      </c>
      <c r="F1" s="44">
        <v>0.7788</v>
      </c>
      <c r="G1" s="44">
        <v>0.7408</v>
      </c>
      <c r="H1" s="44">
        <v>0.7047</v>
      </c>
      <c r="I1" s="44">
        <v>0.6703</v>
      </c>
      <c r="J1" s="44">
        <v>0.6376</v>
      </c>
      <c r="K1" s="44">
        <v>0.6065</v>
      </c>
    </row>
    <row r="2" spans="1:11" ht="11.25">
      <c r="A2" s="40">
        <v>0.8607</v>
      </c>
      <c r="B2" s="44">
        <v>0.7985</v>
      </c>
      <c r="C2" s="44">
        <v>0.7408</v>
      </c>
      <c r="D2" s="44">
        <v>0.6376</v>
      </c>
      <c r="E2" s="44">
        <v>0.5488</v>
      </c>
      <c r="F2" s="44">
        <v>0.4724</v>
      </c>
      <c r="G2" s="44">
        <v>0.4066</v>
      </c>
      <c r="H2" s="44">
        <v>0.3499</v>
      </c>
      <c r="I2" s="44">
        <v>0.3012</v>
      </c>
      <c r="J2" s="44">
        <v>0.2592</v>
      </c>
      <c r="K2" s="44">
        <v>0.2231</v>
      </c>
    </row>
    <row r="3" spans="1:11" ht="11.25">
      <c r="A3" s="40">
        <v>0.7788</v>
      </c>
      <c r="B3" s="44">
        <v>0.6873</v>
      </c>
      <c r="C3" s="44">
        <v>0.6065</v>
      </c>
      <c r="D3" s="44">
        <v>0.4724</v>
      </c>
      <c r="E3" s="44">
        <v>0.3679</v>
      </c>
      <c r="F3" s="44">
        <v>0.2865</v>
      </c>
      <c r="G3" s="44">
        <v>0.2231</v>
      </c>
      <c r="H3" s="44">
        <v>0.1738</v>
      </c>
      <c r="I3" s="44">
        <v>0.1353</v>
      </c>
      <c r="J3" s="44">
        <v>0.1054</v>
      </c>
      <c r="K3" s="44">
        <v>0.0821</v>
      </c>
    </row>
    <row r="4" spans="1:11" ht="11.25">
      <c r="A4" s="40">
        <v>0.7047</v>
      </c>
      <c r="B4" s="44">
        <v>0.5916</v>
      </c>
      <c r="C4" s="44">
        <v>0.4966</v>
      </c>
      <c r="D4" s="44">
        <v>0.3499</v>
      </c>
      <c r="E4" s="44">
        <v>0.2466</v>
      </c>
      <c r="F4" s="44">
        <v>0.1738</v>
      </c>
      <c r="G4" s="44">
        <v>0.1225</v>
      </c>
      <c r="H4" s="44">
        <v>0.0863</v>
      </c>
      <c r="I4" s="44">
        <v>0.0608</v>
      </c>
      <c r="J4" s="44">
        <v>0.0429</v>
      </c>
      <c r="K4" s="44">
        <v>0.0302</v>
      </c>
    </row>
    <row r="5" spans="1:11" ht="11.25">
      <c r="A5" s="40">
        <v>0.6376</v>
      </c>
      <c r="B5" s="44">
        <v>0.5092</v>
      </c>
      <c r="C5" s="44">
        <v>0.4066</v>
      </c>
      <c r="D5" s="44">
        <v>0.2592</v>
      </c>
      <c r="E5" s="44">
        <v>0.1653</v>
      </c>
      <c r="F5" s="44">
        <v>0.1054</v>
      </c>
      <c r="G5" s="44">
        <v>0.0672</v>
      </c>
      <c r="H5" s="44">
        <v>0.0429</v>
      </c>
      <c r="I5" s="44">
        <v>0.0273</v>
      </c>
      <c r="J5" s="44">
        <v>0.0174</v>
      </c>
      <c r="K5" s="44">
        <v>0.0111</v>
      </c>
    </row>
    <row r="6" spans="1:11" ht="11.25">
      <c r="A6" s="40">
        <v>0.5769</v>
      </c>
      <c r="B6" s="44">
        <v>0.4382</v>
      </c>
      <c r="C6" s="44">
        <v>0.03329</v>
      </c>
      <c r="D6" s="44">
        <v>0.192</v>
      </c>
      <c r="E6" s="44">
        <v>0.1108</v>
      </c>
      <c r="F6" s="44">
        <v>0.0639</v>
      </c>
      <c r="G6" s="44">
        <v>0.0369</v>
      </c>
      <c r="H6" s="44">
        <v>0.0213</v>
      </c>
      <c r="I6" s="44">
        <v>0.0123</v>
      </c>
      <c r="J6" s="44">
        <v>0.0071</v>
      </c>
      <c r="K6" s="44">
        <v>0.0111</v>
      </c>
    </row>
    <row r="7" spans="1:11" ht="11.25">
      <c r="A7" s="40">
        <v>0.522</v>
      </c>
      <c r="B7" s="44">
        <v>0.3772</v>
      </c>
      <c r="C7" s="44">
        <v>0.2725</v>
      </c>
      <c r="D7" s="44">
        <v>0.1423</v>
      </c>
      <c r="E7" s="44">
        <v>0.0743</v>
      </c>
      <c r="F7" s="44">
        <v>0.0388</v>
      </c>
      <c r="G7" s="44">
        <v>0.0202</v>
      </c>
      <c r="H7" s="44">
        <v>0.0106</v>
      </c>
      <c r="I7" s="44">
        <v>0.0055</v>
      </c>
      <c r="J7" s="44">
        <v>0.0029</v>
      </c>
      <c r="K7" s="44">
        <v>0.0041</v>
      </c>
    </row>
    <row r="8" spans="1:11" ht="11.25">
      <c r="A8" s="40">
        <v>0.4724</v>
      </c>
      <c r="B8" s="44">
        <v>0.3247</v>
      </c>
      <c r="C8" s="44">
        <v>0.2231</v>
      </c>
      <c r="D8" s="44">
        <v>0.1054</v>
      </c>
      <c r="E8" s="44">
        <v>0.0498</v>
      </c>
      <c r="F8" s="44">
        <v>0.0235</v>
      </c>
      <c r="G8" s="44">
        <v>0.0111</v>
      </c>
      <c r="H8" s="44">
        <v>0.0052</v>
      </c>
      <c r="I8" s="44">
        <v>0.0025</v>
      </c>
      <c r="J8" s="44">
        <v>0.0012</v>
      </c>
      <c r="K8" s="44">
        <v>0.0015</v>
      </c>
    </row>
    <row r="9" spans="1:11" ht="11.25">
      <c r="A9" s="40">
        <v>0.4274</v>
      </c>
      <c r="B9" s="44">
        <v>0.2794</v>
      </c>
      <c r="C9" s="44">
        <v>0.1827</v>
      </c>
      <c r="D9" s="44">
        <v>0.0781</v>
      </c>
      <c r="E9" s="44">
        <v>0.0334</v>
      </c>
      <c r="F9" s="44">
        <v>0.0143</v>
      </c>
      <c r="G9" s="44">
        <v>0.0061</v>
      </c>
      <c r="H9" s="44">
        <v>0.0026</v>
      </c>
      <c r="I9" s="44">
        <v>0.0011</v>
      </c>
      <c r="J9" s="44">
        <v>0.0005</v>
      </c>
      <c r="K9" s="44">
        <v>0.0006</v>
      </c>
    </row>
    <row r="10" spans="1:11" ht="11.25">
      <c r="A10" s="40">
        <v>0.3867</v>
      </c>
      <c r="B10" s="44">
        <v>0.2405</v>
      </c>
      <c r="C10" s="44">
        <v>0.1496</v>
      </c>
      <c r="D10" s="44">
        <v>0.0578</v>
      </c>
      <c r="E10" s="44">
        <v>0.0224</v>
      </c>
      <c r="F10" s="44">
        <v>0.0087</v>
      </c>
      <c r="G10" s="44">
        <v>0.0033</v>
      </c>
      <c r="H10" s="44">
        <v>0.0013</v>
      </c>
      <c r="I10" s="44">
        <v>0.0005</v>
      </c>
      <c r="J10" s="44">
        <v>0.0002</v>
      </c>
      <c r="K10" s="44">
        <v>0.0002</v>
      </c>
    </row>
    <row r="11" spans="1:11" ht="11.25">
      <c r="A11" s="40">
        <v>0.3499</v>
      </c>
      <c r="B11" s="44">
        <v>0.207</v>
      </c>
      <c r="C11" s="44">
        <v>0.1225</v>
      </c>
      <c r="D11" s="44">
        <v>0.0429</v>
      </c>
      <c r="E11" s="44">
        <v>0.015</v>
      </c>
      <c r="F11" s="44">
        <v>0.0052</v>
      </c>
      <c r="G11" s="44">
        <v>0.0018</v>
      </c>
      <c r="H11" s="44">
        <v>0.0006</v>
      </c>
      <c r="I11" s="44">
        <v>0.0002</v>
      </c>
      <c r="J11" s="44">
        <v>0.0001</v>
      </c>
      <c r="K11" s="44">
        <v>0.0001</v>
      </c>
    </row>
    <row r="12" spans="1:11" ht="11.25">
      <c r="A12" s="40">
        <v>0.3166</v>
      </c>
      <c r="B12" s="44">
        <v>0.1782</v>
      </c>
      <c r="C12" s="44">
        <v>0.1003</v>
      </c>
      <c r="D12" s="44">
        <v>0.0317</v>
      </c>
      <c r="E12" s="44">
        <v>0.0101</v>
      </c>
      <c r="F12" s="44">
        <v>0.0032</v>
      </c>
      <c r="G12" s="44">
        <v>0.01</v>
      </c>
      <c r="H12" s="44">
        <v>0.0003</v>
      </c>
      <c r="I12" s="44">
        <v>0.0001</v>
      </c>
      <c r="J12" s="44">
        <v>0</v>
      </c>
      <c r="K12" s="44">
        <v>0</v>
      </c>
    </row>
    <row r="13" spans="1:11" ht="11.25">
      <c r="A13" s="40">
        <v>0.2865</v>
      </c>
      <c r="B13" s="44">
        <v>0.1534</v>
      </c>
      <c r="C13" s="44">
        <v>0.0821</v>
      </c>
      <c r="D13" s="44">
        <v>0.0235</v>
      </c>
      <c r="E13" s="44">
        <v>0.0067</v>
      </c>
      <c r="F13" s="44">
        <v>0.0019</v>
      </c>
      <c r="G13" s="44">
        <v>0.0006</v>
      </c>
      <c r="H13" s="44">
        <v>0.0002</v>
      </c>
      <c r="I13" s="44">
        <v>0</v>
      </c>
      <c r="J13" s="44">
        <v>0</v>
      </c>
      <c r="K13" s="44">
        <v>0</v>
      </c>
    </row>
    <row r="14" spans="1:11" ht="11.25">
      <c r="A14" s="40">
        <v>0.2592</v>
      </c>
      <c r="B14" s="44">
        <v>0.132</v>
      </c>
      <c r="C14" s="44">
        <v>0.0672</v>
      </c>
      <c r="D14" s="44">
        <v>0.0174</v>
      </c>
      <c r="E14" s="44">
        <v>0.0045</v>
      </c>
      <c r="F14" s="44">
        <v>0.0012</v>
      </c>
      <c r="G14" s="44">
        <v>0.0003</v>
      </c>
      <c r="H14" s="44">
        <v>0.0001</v>
      </c>
      <c r="I14" s="44">
        <v>0</v>
      </c>
      <c r="J14" s="44">
        <v>0</v>
      </c>
      <c r="K14" s="44">
        <v>0</v>
      </c>
    </row>
    <row r="15" spans="1:11" ht="11.25">
      <c r="A15" s="40">
        <v>0.2346</v>
      </c>
      <c r="B15" s="44">
        <v>0.1136</v>
      </c>
      <c r="C15" s="44">
        <v>0.055</v>
      </c>
      <c r="D15" s="44">
        <v>0.0129</v>
      </c>
      <c r="E15" s="44">
        <v>0.003</v>
      </c>
      <c r="F15" s="44">
        <v>0.0007</v>
      </c>
      <c r="G15" s="44">
        <v>0.0002</v>
      </c>
      <c r="H15" s="44">
        <v>0</v>
      </c>
      <c r="I15" s="44">
        <v>0</v>
      </c>
      <c r="J15" s="44">
        <v>0</v>
      </c>
      <c r="K15" s="44">
        <v>0</v>
      </c>
    </row>
    <row r="16" spans="1:11" ht="11.25">
      <c r="A16" s="40">
        <v>0.2122</v>
      </c>
      <c r="B16" s="44">
        <v>0.0978</v>
      </c>
      <c r="C16" s="44">
        <v>0.045</v>
      </c>
      <c r="D16" s="44">
        <v>0.0096</v>
      </c>
      <c r="E16" s="44">
        <v>0.002</v>
      </c>
      <c r="F16" s="44">
        <v>0.0004</v>
      </c>
      <c r="G16" s="44">
        <v>0.0001</v>
      </c>
      <c r="H16" s="44">
        <v>0</v>
      </c>
      <c r="I16" s="44">
        <v>0</v>
      </c>
      <c r="J16" s="44">
        <v>0</v>
      </c>
      <c r="K16" s="44">
        <v>0</v>
      </c>
    </row>
    <row r="17" spans="1:11" ht="11.25">
      <c r="A17" s="40">
        <v>0.192</v>
      </c>
      <c r="B17" s="44">
        <v>0.0842</v>
      </c>
      <c r="C17" s="44">
        <v>0.0369</v>
      </c>
      <c r="D17" s="44">
        <v>0.0071</v>
      </c>
      <c r="E17" s="44">
        <v>0.0014</v>
      </c>
      <c r="F17" s="44">
        <v>0.0003</v>
      </c>
      <c r="G17" s="44">
        <v>0.0001</v>
      </c>
      <c r="H17" s="44">
        <v>0</v>
      </c>
      <c r="I17" s="44">
        <v>0</v>
      </c>
      <c r="J17" s="44">
        <v>0</v>
      </c>
      <c r="K17" s="44">
        <v>0</v>
      </c>
    </row>
    <row r="18" spans="1:11" ht="11.25">
      <c r="A18" s="40">
        <v>0.1738</v>
      </c>
      <c r="B18" s="44">
        <v>0.0724</v>
      </c>
      <c r="C18" s="44">
        <v>0.0302</v>
      </c>
      <c r="D18" s="44">
        <v>0.0052</v>
      </c>
      <c r="E18" s="44">
        <v>0.0009</v>
      </c>
      <c r="F18" s="44">
        <v>0.0002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1.25">
      <c r="A19" s="40">
        <v>0.1572</v>
      </c>
      <c r="B19" s="44">
        <v>0.0623</v>
      </c>
      <c r="C19" s="44">
        <v>0.0247</v>
      </c>
      <c r="D19" s="44">
        <v>0.0039</v>
      </c>
      <c r="E19" s="44">
        <v>0.0006</v>
      </c>
      <c r="F19" s="44">
        <v>0.0001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  <row r="20" spans="1:11" ht="11.25">
      <c r="A20" s="40">
        <v>0.1423</v>
      </c>
      <c r="B20" s="44">
        <v>0.0537</v>
      </c>
      <c r="C20" s="44">
        <v>0.0202</v>
      </c>
      <c r="D20" s="44">
        <v>0.0029</v>
      </c>
      <c r="E20" s="44">
        <v>0.0004</v>
      </c>
      <c r="F20" s="44">
        <v>0.0001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</row>
    <row r="21" spans="1:11" s="45" customFormat="1" ht="10.5">
      <c r="A21" s="45" t="s">
        <v>38</v>
      </c>
      <c r="B21" s="45" t="s">
        <v>39</v>
      </c>
      <c r="C21" s="45" t="s">
        <v>40</v>
      </c>
      <c r="D21" s="45" t="s">
        <v>41</v>
      </c>
      <c r="E21" s="45" t="s">
        <v>42</v>
      </c>
      <c r="F21" s="45" t="s">
        <v>43</v>
      </c>
      <c r="G21" s="45" t="s">
        <v>44</v>
      </c>
      <c r="H21" s="45" t="s">
        <v>45</v>
      </c>
      <c r="I21" s="45" t="s">
        <v>46</v>
      </c>
      <c r="J21" s="45" t="s">
        <v>47</v>
      </c>
      <c r="K21" s="45" t="s">
        <v>48</v>
      </c>
    </row>
    <row r="22" spans="1:2" s="48" customFormat="1" ht="11.25">
      <c r="A22" s="46" t="s">
        <v>51</v>
      </c>
      <c r="B22" s="47" t="s">
        <v>49</v>
      </c>
    </row>
    <row r="23" s="47" customFormat="1" ht="11.25">
      <c r="B23" s="47" t="s">
        <v>50</v>
      </c>
    </row>
    <row r="24" s="49" customFormat="1" ht="11.25">
      <c r="G24" s="4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Cash Flow Analysis		</dc:title>
  <dc:subject/>
  <dc:creator/>
  <cp:keywords/>
  <dc:description/>
  <cp:lastModifiedBy>Ann</cp:lastModifiedBy>
  <cp:lastPrinted>2001-09-18T19:44:44Z</cp:lastPrinted>
  <dcterms:created xsi:type="dcterms:W3CDTF">1998-12-03T02:24:42Z</dcterms:created>
  <dcterms:modified xsi:type="dcterms:W3CDTF">2006-07-11T17:38:28Z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